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b6e83ecda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ee4e49ebbbee41d6"/>
    <x:sheet xmlns:r="http://schemas.openxmlformats.org/officeDocument/2006/relationships" name="Roles_Bundles" sheetId="2" r:id="R90c94173ee9444d8"/>
    <x:sheet xmlns:r="http://schemas.openxmlformats.org/officeDocument/2006/relationships" name="Customer_Scenarios" sheetId="3" r:id="R14cf3a11e6c74b9f"/>
    <x:sheet xmlns:r="http://schemas.openxmlformats.org/officeDocument/2006/relationships" name="Pricing_Model" sheetId="4" r:id="Rc6d8c276795848e9"/>
    <x:sheet xmlns:r="http://schemas.openxmlformats.org/officeDocument/2006/relationships" name="Breakeven_Sensitivity" sheetId="5" r:id="Reb629a3b156f4775"/>
    <x:sheet xmlns:r="http://schemas.openxmlformats.org/officeDocument/2006/relationships" name="Summary_CEO_View" sheetId="6" r:id="Rb8aafcf6270a444f"/>
    <x:sheet xmlns:r="http://schemas.openxmlformats.org/officeDocument/2006/relationships" name="Workshop_Extras" sheetId="9" r:id="R91a386d4463c43a2"/>
    <x:sheet xmlns:r="http://schemas.openxmlformats.org/officeDocument/2006/relationships" name="Compare_Flat_vs_RoleBased" sheetId="7" r:id="Rae369d3e30e145bc"/>
    <x:sheet xmlns:r="http://schemas.openxmlformats.org/officeDocument/2006/relationships" name="PUBLIC_README" sheetId="10" r:id="R11ef35ddfb854164"/>
  </x:sheets>
  <x:definedNames>
    <x:definedName name="Activation_Fee_Y1">Inputs!$B$25</x:definedName>
    <x:definedName name="ALS_Uplift_Per_User_PM">Inputs!$B$20</x:definedName>
    <x:definedName name="Annual_Churn_Rate">Inputs!$B$42</x:definedName>
    <x:definedName name="API_Read_Annual_Fee">Inputs!$B$33</x:definedName>
    <x:definedName name="API_ReadWrite_Annual_Fee">Inputs!$B$34</x:definedName>
    <x:definedName name="Burn_Annual_Current">Inputs!$B$8</x:definedName>
    <x:definedName name="Burn_Annual_StageB">Inputs!$B$10</x:definedName>
    <x:definedName name="Burn_Annual_StageC">Inputs!$B$11</x:definedName>
    <x:definedName name="Burn_Capacity_Users_Current">Inputs!$B$9</x:definedName>
    <x:definedName name="CAC_Per_Customer">Inputs!$B$41</x:definedName>
    <x:definedName name="CC_Uplift_Per_User_PM">Inputs!$B$21</x:definedName>
    <x:definedName name="Cost_Escalation_Base_Pct">Inputs!$B$7</x:definedName>
    <x:definedName name="Currency">Inputs!$B$4</x:definedName>
    <x:definedName name="CustomBranding_Annual_Fee">Inputs!$B$32</x:definedName>
    <x:definedName name="Discount_Rate_LTV">Inputs!$B$43</x:definedName>
    <x:definedName name="EarlyAdopter_Discount_Pct">Inputs!$B$37</x:definedName>
    <x:definedName name="Gross_Margin_Pct">Inputs!$B$44</x:definedName>
    <x:definedName name="Market_Adjustment_ALS_Pct">Inputs!$B$46</x:definedName>
    <x:definedName name="Market_Adjustment_BLS_Pct">Inputs!$B$45</x:definedName>
    <x:definedName name="Market_Adjustment_CC_Pct">Inputs!$B$47</x:definedName>
    <x:definedName name="Max_Total_Discount_Pct">Inputs!$B$38</x:definedName>
    <x:definedName name="OnPrem_Maint_Fee_PM_Large">Inputs!$B$31</x:definedName>
    <x:definedName name="OnPrem_Maint_Fee_PM_Mid">Inputs!$B$30</x:definedName>
    <x:definedName name="OnPrem_Maint_Fee_PM_Small">Inputs!$B$29</x:definedName>
    <x:definedName name="OnPrem_Setup_Fee_Large">Inputs!$B$28</x:definedName>
    <x:definedName name="OnPrem_Setup_Fee_Mid">Inputs!$B$27</x:definedName>
    <x:definedName name="OnPrem_Setup_Fee_Small">Inputs!$B$26</x:definedName>
    <x:definedName name="Price_BLS_BranchAdmin_PM">Inputs!$B$17</x:definedName>
    <x:definedName name="Price_BLS_FacilityAdmin_PM">Inputs!$B$18</x:definedName>
    <x:definedName name="Price_BLS_MedDirector_PM">Inputs!$B$19</x:definedName>
    <x:definedName name="Price_BLS_Paramedic_PM">Inputs!$B$16</x:definedName>
    <x:definedName name="Price_BLS_User_PM_Base">Inputs!$B$15</x:definedName>
    <x:definedName name="Pricing_Mode">Inputs!$B$14</x:definedName>
    <x:definedName name="Renewal_Price_Adj_Y2_Pct">Inputs!$B$39</x:definedName>
    <x:definedName name="Renewal_Price_Adj_Y3_Pct">Inputs!$B$40</x:definedName>
    <x:definedName name="ROI_Target_Pct">Inputs!$B$6</x:definedName>
    <x:definedName name="StageA_Ongoing_Burn_Annual">Inputs!$B$12</x:definedName>
    <x:definedName name="StageA_Total_Burn_Annual">Inputs!$B$13</x:definedName>
    <x:definedName name="Storage_Tier1_Annual_Fee">Inputs!$B$23</x:definedName>
    <x:definedName name="Support_247_Annual_Fee">Inputs!$B$22</x:definedName>
    <x:definedName name="Term_2Y_Discount_Pct">Inputs!$B$35</x:definedName>
    <x:definedName name="Term_3Y_Discount_Pct">Inputs!$B$36</x:definedName>
    <x:definedName name="Training_Implementation_Fee_Y1">Inputs!$B$24</x:definedName>
    <x:definedName name="VAT_Pct">Inputs!$B$5</x:definedName>
    <x:definedName name="VolumeDiscountTable">Inputs!$E$4:$G$6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00"/>
    <x:numFmt numFmtId="165" formatCode="0.0"/>
    <x:numFmt numFmtId="166" formatCode="0.0%"/>
  </x:numFmts>
  <x:fonts count="28">
    <x:font>
      <x:sz val="11"/>
      <x:color theme="1"/>
      <x:name val="Calibri"/>
    </x:font>
    <x:font>
      <x:b/>
      <x:sz val="14"/>
      <x:color rgb="FF1F4E79"/>
      <x:name val="Helvetica"/>
    </x:font>
    <x:font>
      <x:sz val="11"/>
      <x:color theme="1"/>
      <x:name val="Helvetica"/>
    </x:font>
    <x:font>
      <x:b/>
      <x:sz val="11"/>
      <x:color rgb="FFFFFFFF"/>
      <x:name val="Helvetica"/>
    </x:font>
    <x:font>
      <x:b/>
      <x:sz val="11"/>
      <x:name val="Helvetica"/>
    </x:font>
    <x:font>
      <x:sz val="11"/>
      <x:color rgb="FF666666"/>
      <x:name val="Helvetica"/>
    </x:font>
    <x:font>
      <x:b/>
      <x:sz val="14"/>
      <x:color rgb="FF1F4E79"/>
      <x:name val="Helvetica Neue"/>
    </x:font>
    <x:font>
      <x:sz val="11"/>
      <x:color theme="1"/>
      <x:name val="Helvetica Neue"/>
    </x:font>
    <x:font>
      <x:b/>
      <x:sz val="11"/>
      <x:color rgb="FFFFFFFF"/>
      <x:name val="Helvetica Neue"/>
    </x:font>
    <x:font>
      <x:b/>
      <x:sz val="12"/>
      <x:name val="Helvetica"/>
    </x:font>
    <x:font>
      <x:b/>
      <x:sz val="11"/>
      <x:color theme="0"/>
      <x:name val="Helvetica"/>
    </x:font>
    <x:font>
      <x:b/>
      <x:sz val="12"/>
      <x:color theme="0"/>
      <x:name val="Helvetica"/>
    </x:font>
    <x:font>
      <x:b/>
      <x:sz val="14"/>
      <x:name val="Helvetica"/>
    </x:font>
    <x:font>
      <x:b/>
      <x:sz val="11"/>
      <x:color theme="1"/>
      <x:name val="Helvetica"/>
    </x:font>
    <x:font>
      <x:b/>
      <x:i/>
      <x:sz val="11"/>
      <x:color rgb="FFFFFFFF"/>
      <x:name val="Helvetica Neue"/>
    </x:font>
    <x:font>
      <x:i/>
      <x:sz val="11"/>
      <x:color theme="1"/>
      <x:name val="Helvetica Neue"/>
    </x:font>
    <x:font>
      <x:i/>
      <x:sz val="11"/>
      <x:color theme="1"/>
      <x:name val="Helvetica"/>
    </x:font>
    <x:font>
      <x:b/>
      <x:i/>
      <x:sz val="11"/>
      <x:color rgb="FFFFFFFF"/>
      <x:name val="Helvetica"/>
    </x:font>
    <x:font>
      <x:b/>
      <x:sz val="15"/>
      <x:name val="Helvetica"/>
    </x:font>
    <x:font>
      <x:i/>
      <x:sz val="11"/>
      <x:color rgb="FF666666"/>
      <x:name val="Helvetica"/>
    </x:font>
    <x:font>
      <x:b/>
      <x:sz val="11"/>
      <x:color rgb="FF000000"/>
      <x:name val="Helvetica"/>
    </x:font>
    <x:font>
      <x:sz val="11"/>
      <x:color rgb="FF000000"/>
      <x:name val="Helvetica"/>
    </x:font>
    <x:font>
      <x:b/>
      <x:sz val="11"/>
      <x:color theme="1"/>
      <x:name val="Calibri"/>
    </x:font>
    <x:font>
      <x:b/>
      <x:sz val="18"/>
      <x:color rgb="FFFFFFFF"/>
      <x:name val="Calibri"/>
    </x:font>
    <x:font>
      <x:b/>
      <x:sz val="12"/>
      <x:color rgb="FF6E1F35"/>
      <x:name val="Calibri"/>
    </x:font>
    <x:font>
      <x:b/>
      <x:sz val="11"/>
      <x:color rgb="FFFFFFFF"/>
      <x:name val="Calibri"/>
    </x:font>
    <x:font>
      <x:i/>
      <x:sz val="11"/>
      <x:color rgb="FF666666"/>
      <x:name val="Calibri"/>
    </x:font>
    <x:font>
      <x:b/>
      <x:sz val="10"/>
      <x:color rgb="FF335E9E"/>
      <x:name val="Calibri"/>
    </x:font>
  </x:fonts>
  <x:fills count="22">
    <x:fill>
      <x:patternFill patternType="none"/>
    </x:fill>
    <x:fill>
      <x:patternFill patternType="gray125"/>
    </x:fill>
    <x:fill>
      <x:patternFill patternType="solid">
        <x:fgColor rgb="FFF2F2F2"/>
      </x:patternFill>
    </x:fill>
    <x:fill>
      <x:patternFill patternType="solid">
        <x:fgColor rgb="FF1F4E79"/>
      </x:patternFill>
    </x:fill>
    <x:fill>
      <x:patternFill patternType="solid">
        <x:fgColor rgb="FFFFFFFF"/>
      </x:patternFill>
    </x:fill>
    <x:fill>
      <x:patternFill patternType="solid">
        <x:fgColor rgb="FFDDEBF7"/>
      </x:patternFill>
    </x:fill>
    <x:fill>
      <x:patternFill patternType="solid">
        <x:fgColor rgb="FF2F5597"/>
      </x:patternFill>
    </x:fill>
    <x:fill>
      <x:patternFill patternType="solid">
        <x:fgColor rgb="FFF2F2F2"/>
      </x:patternFill>
    </x:fill>
    <x:fill>
      <x:patternFill patternType="solid">
        <x:fgColor theme="0"/>
      </x:patternFill>
    </x:fill>
    <x:fill>
      <x:patternFill patternType="solid">
        <x:fgColor theme="3" tint="0.79998"/>
      </x:patternFill>
    </x:fill>
    <x:fill>
      <x:patternFill patternType="solid">
        <x:fgColor rgb="FF2F5597"/>
      </x:patternFill>
    </x:fill>
    <x:fill>
      <x:patternFill patternType="solid">
        <x:fgColor rgb="FF1F4E79"/>
      </x:patternFill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  <x:fill>
      <x:patternFill patternType="solid">
        <x:fgColor rgb="FFD9EAF8"/>
      </x:patternFill>
    </x:fill>
    <x:fill>
      <x:patternFill patternType="solid">
        <x:fgColor rgb="FF111111"/>
      </x:patternFill>
    </x:fill>
    <x:fill>
      <x:patternFill patternType="solid">
        <x:fgColor rgb="FF6E1F35"/>
      </x:patternFill>
    </x:fill>
    <x:fill>
      <x:patternFill patternType="solid">
        <x:fgColor rgb="FFF5F2F3"/>
      </x:patternFill>
    </x:fill>
    <x:fill>
      <x:patternFill patternType="solid">
        <x:fgColor rgb="FFF3F6FA"/>
      </x:patternFill>
    </x:fill>
  </x:fills>
  <x:borders count="2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bottom style="thin">
        <x:color rgb="FFD9D9D9"/>
      </x:bottom>
    </x:border>
    <x:border>
      <x:left style="thin">
        <x:color rgb="FFD9D9D9"/>
      </x:left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</x:border>
    <x:border>
      <x:left style="thin">
        <x:color rgb="FFD9D9D9"/>
      </x:left>
      <x:right style="thin">
        <x:color rgb="FFD9D9D9"/>
      </x:right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</x:border>
    <x:border>
      <x:right style="thin">
        <x:color rgb="FFD9D9D9"/>
      </x:right>
    </x:border>
    <x:border>
      <x:left style="thin">
        <x:color rgb="FFD9D9D9"/>
      </x:left>
    </x:border>
    <x:border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  <x:border>
      <x:left style="thin">
        <x:color rgb="FFD9D9D9"/>
      </x:lef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top style="thin">
        <x:color rgb="FFC9D5E6"/>
      </x:top>
    </x:border>
  </x:borders>
  <x:cellStyleXfs count="1">
    <x:xf numFmtId="0" fontId="0" fillId="0" borderId="0"/>
  </x:cellStyleXfs>
  <x:cellXfs count="420">
    <x:xf numFmtId="0" fontId="0" fillId="0" borderId="0" xfId="0"/>
    <x:xf numFmtId="0" fontId="2" fillId="0" borderId="0" xfId="0" applyFont="1"/>
    <x:xf numFmtId="0" fontId="3" fillId="3" borderId="1" xfId="0" applyFont="1" applyFill="1" applyBorder="1" applyAlignment="1">
      <x:alignment horizontal="center" vertical="center" wrapText="1"/>
    </x:xf>
    <x:xf numFmtId="0" fontId="2" fillId="4" borderId="1" xfId="0" applyFont="1" applyFill="1" applyBorder="1" applyAlignment="1">
      <x:alignment horizontal="left" vertical="center" wrapText="1"/>
    </x:xf>
    <x:xf numFmtId="0" fontId="2" fillId="5" borderId="1" xfId="0" applyFont="1" applyFill="1" applyBorder="1" applyAlignment="1">
      <x:alignment horizontal="right" vertical="center" wrapText="1"/>
    </x:xf>
    <x:xf numFmtId="3" fontId="2" fillId="5" borderId="1" xfId="0" applyNumberFormat="1" applyFont="1" applyFill="1" applyBorder="1" applyAlignment="1">
      <x:alignment horizontal="center" vertical="center" wrapText="1"/>
    </x:xf>
    <x:xf numFmtId="10" fontId="2" fillId="5" borderId="1" xfId="0" applyNumberFormat="1" applyFont="1" applyFill="1" applyBorder="1" applyAlignment="1">
      <x:alignment horizontal="center" vertical="center" wrapText="1"/>
    </x:xf>
    <x:xf numFmtId="10" fontId="2" fillId="5" borderId="1" xfId="0" applyNumberFormat="1" applyFont="1" applyFill="1" applyBorder="1" applyAlignment="1">
      <x:alignment horizontal="right" vertical="center" wrapText="1"/>
    </x:xf>
    <x:xf numFmtId="3" fontId="2" fillId="5" borderId="1" xfId="0" applyNumberFormat="1" applyFont="1" applyFill="1" applyBorder="1" applyAlignment="1">
      <x:alignment horizontal="right" vertical="center" wrapText="1"/>
    </x:xf>
    <x:xf numFmtId="4" fontId="2" fillId="5" borderId="1" xfId="0" applyNumberFormat="1" applyFont="1" applyFill="1" applyBorder="1" applyAlignment="1">
      <x:alignment horizontal="right" vertical="center" wrapText="1"/>
    </x:xf>
    <x:xf numFmtId="3" fontId="2" fillId="4" borderId="1" xfId="0" applyNumberFormat="1" applyFont="1" applyFill="1" applyBorder="1" applyAlignment="1">
      <x:alignment horizontal="right" vertical="center" wrapText="1"/>
    </x:xf>
    <x:xf numFmtId="0" fontId="4" fillId="7" borderId="0" xfId="0" applyFont="1" applyFill="1"/>
    <x:xf numFmtId="164" fontId="5" fillId="7" borderId="0" xfId="0" applyNumberFormat="1" applyFont="1" applyFill="1"/>
    <x:xf numFmtId="0" fontId="4" fillId="7" borderId="0" xfId="0" applyFont="1" applyFill="1" applyAlignment="1">
      <x:alignment horizontal="center"/>
    </x:xf>
    <x:xf numFmtId="0" fontId="2" fillId="7" borderId="0" xfId="0" applyFont="1" applyFill="1"/>
    <x:xf numFmtId="0" fontId="2" fillId="4" borderId="1" xfId="0" applyFont="1" applyFill="1" applyBorder="1" applyAlignment="1">
      <x:alignment horizontal="center" vertical="center" wrapText="1"/>
    </x:xf>
    <x:xf numFmtId="10" fontId="2" fillId="7" borderId="0" xfId="0" applyNumberFormat="1" applyFont="1" applyFill="1"/>
    <x:xf numFmtId="3" fontId="2" fillId="4" borderId="1" xfId="0" applyNumberFormat="1" applyFont="1" applyFill="1" applyBorder="1" applyAlignment="1">
      <x:alignment horizontal="center" vertical="center" wrapText="1"/>
    </x:xf>
    <x:xf numFmtId="0" fontId="4" fillId="0" borderId="0" xfId="0" applyFont="1"/>
    <x:xf numFmtId="0" fontId="7" fillId="0" borderId="0" xfId="0" applyFont="1"/>
    <x:xf numFmtId="0" fontId="8" fillId="3" borderId="1" xfId="0" applyFont="1" applyFill="1" applyBorder="1" applyAlignment="1">
      <x:alignment horizontal="center" vertical="center" wrapText="1"/>
    </x:xf>
    <x:xf numFmtId="0" fontId="7" fillId="4" borderId="1" xfId="0" applyFont="1" applyFill="1" applyBorder="1" applyAlignment="1">
      <x:alignment horizontal="left" vertical="center" wrapText="1"/>
    </x:xf>
    <x:xf numFmtId="0" fontId="7" fillId="5" borderId="1" xfId="0" applyFont="1" applyFill="1" applyBorder="1" applyAlignment="1">
      <x:alignment horizontal="center" vertical="center" wrapText="1"/>
    </x:xf>
    <x:xf numFmtId="3" fontId="7" fillId="5" borderId="1" xfId="0" applyNumberFormat="1" applyFont="1" applyFill="1" applyBorder="1" applyAlignment="1">
      <x:alignment horizontal="center" vertical="center" wrapText="1"/>
    </x:xf>
    <x:xf numFmtId="1" fontId="7" fillId="5" borderId="1" xfId="0" applyNumberFormat="1" applyFont="1" applyFill="1" applyBorder="1" applyAlignment="1">
      <x:alignment horizontal="center" vertical="center" wrapText="1"/>
    </x:xf>
    <x:xf numFmtId="0" fontId="2" fillId="8" borderId="1" xfId="0" applyFont="1" applyFill="1" applyBorder="1" applyAlignment="1">
      <x:alignment horizontal="right" vertical="center" wrapText="1"/>
    </x:xf>
    <x:xf numFmtId="10" fontId="2" fillId="9" borderId="1" xfId="0" applyNumberFormat="1" applyFont="1" applyFill="1" applyBorder="1" applyAlignment="1">
      <x:alignment horizontal="center" vertical="center" wrapText="1"/>
    </x:xf>
    <x:xf numFmtId="1" fontId="2" fillId="4" borderId="1" xfId="0" applyNumberFormat="1" applyFont="1" applyFill="1" applyBorder="1" applyAlignment="1">
      <x:alignment horizontal="center" vertical="center" wrapText="1"/>
    </x:xf>
    <x:xf numFmtId="164" fontId="2" fillId="4" borderId="1" xfId="0" applyNumberFormat="1" applyFont="1" applyFill="1" applyBorder="1" applyAlignment="1">
      <x:alignment horizontal="right" vertical="center" wrapText="1"/>
    </x:xf>
    <x:xf numFmtId="10" fontId="2" fillId="4" borderId="1" xfId="0" applyNumberFormat="1" applyFont="1" applyFill="1" applyBorder="1" applyAlignment="1">
      <x:alignment horizontal="right" vertical="center" wrapText="1"/>
    </x:xf>
    <x:xf numFmtId="0" fontId="3" fillId="6" borderId="0" xfId="0" applyFont="1" applyFill="1" applyAlignment="1">
      <x:alignment vertical="center" wrapText="1"/>
    </x:xf>
    <x:xf numFmtId="0" fontId="2" fillId="4" borderId="1" xfId="0" applyFont="1" applyFill="1" applyBorder="1" applyAlignment="1">
      <x:alignment horizontal="right" vertical="center" wrapText="1"/>
    </x:xf>
    <x:xf numFmtId="0" fontId="2" fillId="5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left" vertical="center" wrapText="1"/>
    </x:xf>
    <x:xf numFmtId="165" fontId="2" fillId="4" borderId="1" xfId="0" applyNumberFormat="1" applyFont="1" applyFill="1" applyBorder="1" applyAlignment="1">
      <x:alignment horizontal="right" vertical="center" wrapText="1"/>
    </x:xf>
    <x:xf numFmtId="2" fontId="2" fillId="4" borderId="1" xfId="0" applyNumberFormat="1" applyFont="1" applyFill="1" applyBorder="1" applyAlignment="1">
      <x:alignment horizontal="right" vertical="center" wrapText="1"/>
    </x:xf>
    <x:xf numFmtId="0" fontId="2" fillId="0" borderId="0" xfId="0" applyFont="1" applyAlignment="1">
      <x:alignment vertical="center"/>
    </x:xf>
    <x:xf numFmtId="0" fontId="2" fillId="4" borderId="1" xfId="0" applyFont="1" applyFill="1" applyBorder="1" applyAlignment="1">
      <x:alignment vertical="center"/>
    </x:xf>
    <x:xf numFmtId="3" fontId="2" fillId="4" borderId="1" xfId="0" applyNumberFormat="1" applyFont="1" applyFill="1" applyBorder="1" applyAlignment="1">
      <x:alignment vertical="center"/>
    </x:xf>
    <x:xf numFmtId="0" fontId="2" fillId="4" borderId="1" xfId="0" applyFont="1" applyFill="1" applyBorder="1" applyAlignment="1">
      <x:alignment vertical="center" wrapText="1"/>
    </x:xf>
    <x:xf numFmtId="3" fontId="2" fillId="4" borderId="1" xfId="0" applyNumberFormat="1" applyFont="1" applyFill="1" applyBorder="1" applyAlignment="1">
      <x:alignment vertical="center" wrapText="1"/>
    </x:xf>
    <x:xf numFmtId="0" fontId="9" fillId="0" borderId="0" xfId="0" applyFont="1" applyAlignment="1">
      <x:alignment vertical="center"/>
    </x:xf>
    <x:xf numFmtId="0" fontId="4" fillId="0" borderId="0" xfId="0" applyFont="1" applyAlignment="1">
      <x:alignment vertical="center" wrapText="1"/>
    </x:xf>
    <x:xf numFmtId="0" fontId="2" fillId="0" borderId="0" xfId="0" applyFont="1" applyAlignment="1">
      <x:alignment vertical="center" wrapText="1"/>
    </x:xf>
    <x:xf numFmtId="0" fontId="2" fillId="0" borderId="0" xfId="0" applyFont="1" applyAlignment="1">
      <x:alignment vertical="center" wrapText="1"/>
    </x:xf>
    <x:xf numFmtId="3" fontId="2" fillId="0" borderId="0" xfId="0" applyNumberFormat="1" applyFont="1" applyAlignment="1">
      <x:alignment vertical="center" wrapText="1"/>
    </x:xf>
    <x:xf numFmtId="0" fontId="10" fillId="11" borderId="0" xfId="0" applyFont="1" applyFill="1" applyAlignment="1">
      <x:alignment horizontal="center" vertical="center"/>
    </x:xf>
    <x:xf numFmtId="0" fontId="10" fillId="11" borderId="0" xfId="0" applyFont="1" applyFill="1" applyAlignment="1">
      <x:alignment horizontal="center" vertical="center" wrapText="1"/>
    </x:xf>
    <x:xf numFmtId="3" fontId="2" fillId="5" borderId="12" xfId="0" applyNumberFormat="1" applyFont="1" applyFill="1" applyBorder="1" applyAlignment="1">
      <x:alignment horizontal="right" vertical="center" wrapText="1"/>
    </x:xf>
    <x:xf numFmtId="0" fontId="3" fillId="12" borderId="12" xfId="0" applyFont="1" applyFill="1" applyBorder="1" applyAlignment="1">
      <x:alignment horizontal="center"/>
    </x:xf>
    <x:xf numFmtId="0" fontId="2" fillId="0" borderId="12" xfId="0" applyFont="1" applyBorder="1"/>
    <x:xf numFmtId="3" fontId="2" fillId="0" borderId="0" xfId="0" applyNumberFormat="1" applyFont="1"/>
    <x:xf numFmtId="166" fontId="2" fillId="0" borderId="12" xfId="0" applyNumberFormat="1" applyFont="1" applyBorder="1"/>
    <x:xf numFmtId="0" fontId="13" fillId="0" borderId="0" xfId="0" applyFont="1"/>
    <x:xf numFmtId="10" fontId="2" fillId="0" borderId="0" xfId="0" applyNumberFormat="1" applyFont="1"/>
    <x:xf numFmtId="0" fontId="8" fillId="3" borderId="12" xfId="0" applyFont="1" applyFill="1" applyBorder="1" applyAlignment="1">
      <x:alignment horizontal="center" vertical="center" wrapText="1"/>
    </x:xf>
    <x:xf numFmtId="0" fontId="7" fillId="5" borderId="12" xfId="0" applyFont="1" applyFill="1" applyBorder="1" applyAlignment="1">
      <x:alignment horizontal="center" vertical="center" wrapText="1"/>
    </x:xf>
    <x:xf numFmtId="0" fontId="14" fillId="3" borderId="1" xfId="0" applyFont="1" applyFill="1" applyBorder="1" applyAlignment="1">
      <x:alignment horizontal="center" vertical="center" wrapText="1"/>
    </x:xf>
    <x:xf numFmtId="0" fontId="15" fillId="5" borderId="1" xfId="0" applyFont="1" applyFill="1" applyBorder="1" applyAlignment="1">
      <x:alignment horizontal="center" vertical="center" wrapText="1"/>
    </x:xf>
    <x:xf numFmtId="0" fontId="16" fillId="4" borderId="1" xfId="0" applyFont="1" applyFill="1" applyBorder="1" applyAlignment="1">
      <x:alignment horizontal="left" vertical="center" wrapText="1"/>
    </x:xf>
    <x:xf numFmtId="3" fontId="16" fillId="5" borderId="1" xfId="0" applyNumberFormat="1" applyFont="1" applyFill="1" applyBorder="1" applyAlignment="1">
      <x:alignment horizontal="right" vertical="center" wrapText="1"/>
    </x:xf>
    <x:xf numFmtId="0" fontId="16" fillId="0" borderId="1" xfId="0" applyFont="1" applyBorder="1" applyAlignment="1">
      <x:alignment horizontal="left" vertical="center" wrapText="1"/>
    </x:xf>
    <x:xf numFmtId="0" fontId="17" fillId="3" borderId="1" xfId="0" applyFont="1" applyFill="1" applyBorder="1" applyAlignment="1">
      <x:alignment horizontal="center" vertical="center" wrapText="1"/>
    </x:xf>
    <x:xf numFmtId="3" fontId="16" fillId="4" borderId="1" xfId="0" applyNumberFormat="1" applyFont="1" applyFill="1" applyBorder="1" applyAlignment="1">
      <x:alignment horizontal="right" vertical="center" wrapText="1"/>
    </x:xf>
    <x:xf numFmtId="0" fontId="16" fillId="0" borderId="0" xfId="0" applyFont="1"/>
    <x:xf numFmtId="0" fontId="3" fillId="13" borderId="12" xfId="0" applyFont="1" applyFill="1" applyBorder="1" applyAlignment="1">
      <x:alignment vertical="center" wrapText="1"/>
    </x:xf>
    <x:xf numFmtId="0" fontId="20" fillId="14" borderId="12" xfId="0" applyFont="1" applyFill="1" applyBorder="1" applyAlignment="1">
      <x:alignment horizontal="center" vertical="center" wrapText="1"/>
    </x:xf>
    <x:xf numFmtId="0" fontId="21" fillId="15" borderId="12" xfId="0" applyFont="1" applyFill="1" applyBorder="1" applyAlignment="1">
      <x:alignment vertical="center" wrapText="1"/>
    </x:xf>
    <x:xf numFmtId="0" fontId="21" fillId="0" borderId="12" xfId="0" applyFont="1" applyBorder="1" applyAlignment="1">
      <x:alignment vertical="center" wrapText="1"/>
    </x:xf>
    <x:xf numFmtId="3" fontId="21" fillId="0" borderId="12" xfId="0" applyNumberFormat="1" applyFont="1" applyBorder="1" applyAlignment="1">
      <x:alignment vertical="center" wrapText="1"/>
    </x:xf>
    <x:xf numFmtId="0" fontId="20" fillId="16" borderId="12" xfId="0" applyFont="1" applyFill="1" applyBorder="1" applyAlignment="1">
      <x:alignment horizontal="right" vertical="center" wrapText="1"/>
    </x:xf>
    <x:xf numFmtId="0" fontId="21" fillId="16" borderId="12" xfId="0" applyFont="1" applyFill="1" applyBorder="1" applyAlignment="1">
      <x:alignment vertical="center" wrapText="1"/>
    </x:xf>
    <x:xf numFmtId="0" fontId="21" fillId="16" borderId="12" xfId="0" applyFont="1" applyFill="1" applyBorder="1" applyAlignment="1">
      <x:alignment horizontal="left" vertical="center" wrapText="1"/>
    </x:xf>
    <x:xf numFmtId="3" fontId="21" fillId="16" borderId="12" xfId="0" applyNumberFormat="1" applyFont="1" applyFill="1" applyBorder="1" applyAlignment="1">
      <x:alignment horizontal="left" vertical="center" wrapText="1"/>
    </x:xf>
    <x:xf numFmtId="0" fontId="13" fillId="0" borderId="0" xfId="0" applyFont="1" applyAlignment="1">
      <x:alignment vertical="center"/>
    </x:xf>
    <x:xf numFmtId="3" fontId="2" fillId="0" borderId="0" xfId="0" applyNumberFormat="1" applyFont="1" applyAlignment="1">
      <x:alignment vertical="center"/>
    </x:xf>
    <x:xf numFmtId="4" fontId="21" fillId="0" borderId="12" xfId="0" applyNumberFormat="1" applyFont="1" applyBorder="1" applyAlignment="1">
      <x:alignment vertical="center" wrapText="1"/>
    </x:xf>
    <x:xf numFmtId="4" fontId="2" fillId="0" borderId="0" xfId="0" applyNumberFormat="1" applyFont="1" applyAlignment="1">
      <x:alignment vertical="center"/>
    </x:xf>
    <x:xf numFmtId="9" fontId="21" fillId="0" borderId="12" xfId="0" applyNumberFormat="1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13" fillId="17" borderId="0" xfId="0" applyFont="1" applyFill="1" applyAlignment="1">
      <x:alignment horizontal="center" vertical="center"/>
    </x:xf>
    <x:xf numFmtId="10" fontId="21" fillId="0" borderId="12" xfId="0" applyNumberFormat="1" applyFont="1" applyBorder="1" applyAlignment="1">
      <x:alignment vertical="center" wrapText="1"/>
    </x:xf>
    <x:xf numFmtId="166" fontId="2" fillId="0" borderId="0" xfId="0" applyNumberFormat="1" applyFont="1" applyAlignment="1">
      <x:alignment vertical="center" wrapText="1"/>
    </x:xf>
    <x:xf numFmtId="0" fontId="20" fillId="16" borderId="12" xfId="0" applyFont="1" applyFill="1" applyBorder="1" applyAlignment="1">
      <x:alignment vertical="center" wrapText="1"/>
    </x:xf>
    <x:xf numFmtId="4" fontId="2" fillId="0" borderId="0" xfId="0" applyNumberFormat="1" applyFont="1" applyAlignment="1">
      <x:alignment vertical="center" wrapText="1"/>
    </x:xf>
    <x:xf numFmtId="0" fontId="2" fillId="0" borderId="0" xfId="0" applyFont="1" applyAlignment="1">
      <x:alignment horizontal="center" vertical="center"/>
    </x:xf>
    <x:xf numFmtId="0" fontId="20" fillId="16" borderId="12" xfId="0" applyFont="1" applyFill="1" applyBorder="1" applyAlignment="1">
      <x:alignment horizontal="left" vertical="center" wrapText="1"/>
    </x:xf>
    <x:xf numFmtId="0" fontId="18" fillId="0" borderId="0" xfId="0" applyFont="1" applyAlignment="1">
      <x:alignment vertical="center"/>
    </x:xf>
    <x:xf numFmtId="0" fontId="2" fillId="0" borderId="0" xfId="0" applyFont="1" applyAlignment="1">
      <x:alignment horizontal="center" vertical="center" wrapText="1"/>
    </x:xf>
    <x:xf numFmtId="0" fontId="2" fillId="17" borderId="0" xfId="0" applyFont="1" applyFill="1"/>
    <x:xf numFmtId="0" fontId="2" fillId="0" borderId="0" xfId="0" applyFont="1" applyAlignment="1">
      <x:alignment wrapText="1"/>
    </x:xf>
    <x:xf numFmtId="2" fontId="21" fillId="0" borderId="12" xfId="0" applyNumberFormat="1" applyFont="1" applyBorder="1" applyAlignment="1">
      <x:alignment vertical="center" wrapText="1"/>
    </x:xf>
    <x:xf numFmtId="2" fontId="21" fillId="0" borderId="12" xfId="0" applyNumberFormat="1" applyFont="1" applyBorder="1" applyAlignment="1">
      <x:alignment horizontal="right" vertical="center" wrapText="1"/>
    </x:xf>
    <x:xf numFmtId="2" fontId="2" fillId="0" borderId="0" xfId="0" applyNumberFormat="1" applyFont="1" applyAlignment="1">
      <x:alignment vertical="center"/>
    </x:xf>
    <x:xf numFmtId="1" fontId="2" fillId="0" borderId="0" xfId="0" applyNumberFormat="1" applyFont="1" applyAlignment="1">
      <x:alignment vertical="center"/>
    </x:xf>
    <x:xf numFmtId="0" fontId="1" fillId="0" borderId="0" xfId="0" applyFont="1"/>
    <x:xf numFmtId="0" fontId="2" fillId="0" borderId="0" xfId="0" applyFont="1"/>
    <x:xf numFmtId="0" fontId="2" fillId="2" borderId="0" xfId="0" applyFont="1" applyFill="1" applyAlignment="1">
      <x:alignment horizontal="left" vertical="center" wrapText="1"/>
    </x:xf>
    <x:xf numFmtId="0" fontId="7" fillId="2" borderId="0" xfId="0" applyFont="1" applyFill="1" applyAlignment="1">
      <x:alignment horizontal="left" vertical="center" wrapText="1"/>
    </x:xf>
    <x:xf numFmtId="0" fontId="7" fillId="0" borderId="0" xfId="0" applyFont="1"/>
    <x:xf numFmtId="0" fontId="6" fillId="0" borderId="0" xfId="0" applyFont="1"/>
    <x:xf numFmtId="0" fontId="3" fillId="6" borderId="0" xfId="0" applyFont="1" applyFill="1" applyAlignment="1">
      <x:alignment horizontal="center" vertical="center" wrapText="1"/>
    </x:xf>
    <x:xf numFmtId="0" fontId="2" fillId="0" borderId="0" xfId="0" applyFont="1" applyAlignment="1">
      <x:alignment vertical="center"/>
    </x:xf>
    <x:xf numFmtId="3" fontId="2" fillId="0" borderId="10" xfId="0" applyNumberFormat="1" applyFont="1" applyBorder="1" applyAlignment="1">
      <x:alignment horizontal="center" vertical="center" wrapText="1"/>
    </x:xf>
    <x:xf numFmtId="0" fontId="0" fillId="0" borderId="9" xfId="0" applyBorder="1"/>
    <x:xf numFmtId="0" fontId="3" fillId="11" borderId="10" xfId="0" applyFont="1" applyFill="1" applyBorder="1" applyAlignment="1">
      <x:alignment horizontal="center" vertical="center" wrapText="1"/>
    </x:xf>
    <x:xf numFmtId="3" fontId="2" fillId="0" borderId="7" xfId="0" applyNumberFormat="1" applyFont="1" applyBorder="1" applyAlignment="1">
      <x:alignment horizontal="center" vertical="center" wrapText="1"/>
    </x:xf>
    <x:xf numFmtId="0" fontId="3" fillId="11" borderId="7" xfId="0" applyFont="1" applyFill="1" applyBorder="1" applyAlignment="1">
      <x:alignment horizontal="center" vertical="center" wrapText="1"/>
    </x:xf>
    <x:xf numFmtId="0" fontId="3" fillId="6" borderId="6" xfId="0" applyFont="1" applyFill="1" applyBorder="1" applyAlignment="1">
      <x:alignment horizontal="center" vertical="center" wrapText="1"/>
    </x:xf>
    <x:xf numFmtId="0" fontId="0" fillId="0" borderId="6" xfId="0" applyBorder="1"/>
    <x:xf numFmtId="2" fontId="2" fillId="0" borderId="7" xfId="0" applyNumberFormat="1" applyFont="1" applyBorder="1" applyAlignment="1">
      <x:alignment horizontal="center" vertical="center" wrapText="1"/>
    </x:xf>
    <x:xf numFmtId="0" fontId="1" fillId="0" borderId="0" xfId="0" applyFont="1" applyAlignment="1">
      <x:alignment vertical="center"/>
    </x:xf>
    <x:xf numFmtId="0" fontId="3" fillId="3" borderId="7" xfId="0" applyFont="1" applyFill="1" applyBorder="1" applyAlignment="1">
      <x:alignment horizontal="center" vertical="center" wrapText="1"/>
    </x:xf>
    <x:xf numFmtId="0" fontId="4" fillId="4" borderId="12" xfId="0" applyFont="1" applyFill="1" applyBorder="1" applyAlignment="1">
      <x:alignment horizontal="left" vertical="center" wrapText="1"/>
    </x:xf>
    <x:xf numFmtId="0" fontId="0" fillId="0" borderId="2" xfId="0" applyBorder="1"/>
    <x:xf numFmtId="0" fontId="0" fillId="0" borderId="3" xfId="0" applyBorder="1"/>
    <x:xf numFmtId="0" fontId="2" fillId="0" borderId="0" xfId="0" applyFont="1" applyAlignment="1">
      <x:alignment horizontal="left" vertical="center" wrapText="1"/>
    </x:xf>
    <x:xf numFmtId="0" fontId="2" fillId="2" borderId="7" xfId="0" applyFont="1" applyFill="1" applyBorder="1" applyAlignment="1">
      <x:alignment horizontal="left" vertical="center" wrapText="1"/>
    </x:xf>
    <x:xf numFmtId="0" fontId="11" fillId="10" borderId="0" xfId="0" applyFont="1" applyFill="1" applyAlignment="1">
      <x:alignment horizontal="center" vertical="center"/>
    </x:xf>
    <x:xf numFmtId="0" fontId="3" fillId="10" borderId="0" xfId="0" applyFont="1" applyFill="1" applyAlignment="1">
      <x:alignment horizontal="center" vertical="center" wrapText="1"/>
    </x:xf>
    <x:xf numFmtId="0" fontId="2" fillId="0" borderId="10" xfId="0" applyFont="1" applyBorder="1" applyAlignment="1">
      <x:alignment horizontal="left" vertical="center" wrapText="1"/>
    </x:xf>
    <x:xf numFmtId="0" fontId="3" fillId="10" borderId="6" xfId="0" applyFont="1" applyFill="1" applyBorder="1" applyAlignment="1">
      <x:alignment horizontal="center" vertical="center" wrapText="1"/>
    </x:xf>
    <x:xf numFmtId="0" fontId="10" fillId="11" borderId="0" xfId="0" applyFont="1" applyFill="1" applyAlignment="1">
      <x:alignment horizontal="center" vertical="center" wrapText="1"/>
    </x:xf>
    <x:xf numFmtId="2" fontId="2" fillId="0" borderId="0" xfId="0" applyNumberFormat="1" applyFont="1" applyAlignment="1">
      <x:alignment horizontal="right" vertical="center"/>
    </x:xf>
    <x:xf numFmtId="2" fontId="2" fillId="0" borderId="0" xfId="0" applyNumberFormat="1" applyFont="1" applyAlignment="1">
      <x:alignment vertical="center"/>
    </x:xf>
    <x:xf numFmtId="0" fontId="2" fillId="0" borderId="0" xfId="0" applyFont="1" applyAlignment="1">
      <x:alignment vertical="center" wrapText="1"/>
    </x:xf>
    <x:xf numFmtId="0" fontId="10" fillId="10" borderId="0" xfId="0" applyFont="1" applyFill="1" applyAlignment="1">
      <x:alignment horizontal="center" vertical="center" wrapText="1"/>
    </x:xf>
    <x:xf numFmtId="0" fontId="2" fillId="0" borderId="0" xfId="0" applyFont="1" applyAlignment="1">
      <x:alignment horizontal="left" vertical="center" wrapText="1"/>
    </x:xf>
    <x:xf numFmtId="0" fontId="10" fillId="11" borderId="4" xfId="0" applyFont="1" applyFill="1" applyBorder="1" applyAlignment="1">
      <x:alignment horizontal="center" vertical="center"/>
    </x:xf>
    <x:xf numFmtId="0" fontId="0" fillId="0" borderId="4" xfId="0" applyBorder="1"/>
    <x:xf numFmtId="0" fontId="3" fillId="10" borderId="8" xfId="0" applyFont="1" applyFill="1" applyBorder="1" applyAlignment="1">
      <x:alignment horizontal="center" vertical="center" wrapText="1"/>
    </x:xf>
    <x:xf numFmtId="0" fontId="3" fillId="6" borderId="6" xfId="0" applyFont="1" applyFill="1" applyBorder="1" applyAlignment="1">
      <x:alignment horizontal="left" vertical="center" wrapText="1"/>
    </x:xf>
    <x:xf numFmtId="0" fontId="3" fillId="3" borderId="11" xfId="0" applyFont="1" applyFill="1" applyBorder="1" applyAlignment="1">
      <x:alignment horizontal="center" vertical="center" wrapText="1"/>
    </x:xf>
    <x:xf numFmtId="0" fontId="0" fillId="0" borderId="5" xfId="0" applyBorder="1"/>
    <x:xf numFmtId="3" fontId="3" fillId="13" borderId="7" xfId="0" applyNumberFormat="1" applyFont="1" applyFill="1" applyBorder="1" applyAlignment="1">
      <x:alignment horizontal="left" vertical="center" wrapText="1"/>
    </x:xf>
    <x:xf numFmtId="3" fontId="3" fillId="13" borderId="0" xfId="0" applyNumberFormat="1" applyFont="1" applyFill="1" applyAlignment="1">
      <x:alignment horizontal="left" vertical="center" wrapText="1"/>
    </x:xf>
    <x:xf numFmtId="0" fontId="3" fillId="13" borderId="7" xfId="0" applyFont="1" applyFill="1" applyBorder="1" applyAlignment="1">
      <x:alignment horizontal="left" vertical="center" wrapText="1"/>
    </x:xf>
    <x:xf numFmtId="0" fontId="3" fillId="13" borderId="0" xfId="0" applyFont="1" applyFill="1" applyAlignment="1">
      <x:alignment horizontal="left" vertical="center" wrapText="1"/>
    </x:xf>
    <x:xf numFmtId="0" fontId="2" fillId="0" borderId="11" xfId="0" applyFont="1" applyBorder="1" applyAlignment="1">
      <x:alignment horizontal="center" vertical="center" wrapText="1"/>
    </x:xf>
    <x:xf numFmtId="0" fontId="18" fillId="0" borderId="0" xfId="0" applyFont="1" applyAlignment="1">
      <x:alignment vertical="center" wrapText="1"/>
    </x:xf>
    <x:xf numFmtId="0" fontId="19" fillId="0" borderId="0" xfId="0" applyFont="1" applyAlignment="1">
      <x:alignment vertical="center" wrapText="1"/>
    </x:xf>
    <x:xf numFmtId="0" fontId="20" fillId="14" borderId="7" xfId="0" applyFont="1" applyFill="1" applyBorder="1" applyAlignment="1">
      <x:alignment horizontal="center" vertical="center" wrapText="1"/>
    </x:xf>
    <x:xf numFmtId="0" fontId="20" fillId="14" borderId="0" xfId="0" applyFont="1" applyFill="1" applyAlignment="1">
      <x:alignment horizontal="center" vertical="center" wrapText="1"/>
    </x:xf>
    <x:xf numFmtId="0" fontId="2" fillId="0" borderId="7" xfId="0" applyFont="1" applyBorder="1" applyAlignment="1">
      <x:alignment horizontal="left" vertical="center" wrapText="1"/>
    </x:xf>
    <x:xf numFmtId="0" fontId="12" fillId="0" borderId="0" xfId="0" applyFont="1"/>
    <x:xf numFmtId="0" fontId="22" fillId="0" borderId="0" xfId="0" applyFont="1"/>
    <x:xf numFmtId="10" fontId="0" fillId="0" borderId="0" xfId="0" applyNumberFormat="1"/>
    <x:xf numFmtId="0" fontId="0" fillId="0" borderId="13" xfId="0" applyNumberFormat="1" applyFont="1" applyFill="1" applyBorder="1"/>
    <x:xf numFmtId="0" fontId="2" fillId="0" borderId="13" xfId="0" applyNumberFormat="1" applyFont="1" applyFill="1" applyBorder="1"/>
    <x:xf numFmtId="0" fontId="3" fillId="3" borderId="14" xfId="0" applyNumberFormat="1" applyFont="1" applyFill="1" applyBorder="1" applyAlignment="1">
      <x:alignment horizontal="center" vertical="center" wrapText="1"/>
    </x:xf>
    <x:xf numFmtId="0" fontId="2" fillId="4" borderId="14" xfId="0" applyNumberFormat="1" applyFont="1" applyFill="1" applyBorder="1" applyAlignment="1">
      <x:alignment horizontal="left" vertical="center" wrapText="1"/>
    </x:xf>
    <x:xf numFmtId="0" fontId="2" fillId="5" borderId="14" xfId="0" applyNumberFormat="1" applyFont="1" applyFill="1" applyBorder="1" applyAlignment="1">
      <x:alignment horizontal="right" vertical="center" wrapText="1"/>
    </x:xf>
    <x:xf numFmtId="3" fontId="2" fillId="5" borderId="14" xfId="0" applyNumberFormat="1" applyFont="1" applyFill="1" applyBorder="1" applyAlignment="1">
      <x:alignment horizontal="center" vertical="center" wrapText="1"/>
    </x:xf>
    <x:xf numFmtId="10" fontId="2" fillId="5" borderId="14" xfId="0" applyNumberFormat="1" applyFont="1" applyFill="1" applyBorder="1" applyAlignment="1">
      <x:alignment horizontal="center" vertical="center" wrapText="1"/>
    </x:xf>
    <x:xf numFmtId="10" fontId="2" fillId="5" borderId="14" xfId="0" applyNumberFormat="1" applyFont="1" applyFill="1" applyBorder="1" applyAlignment="1">
      <x:alignment horizontal="right" vertical="center" wrapText="1"/>
    </x:xf>
    <x:xf numFmtId="3" fontId="2" fillId="5" borderId="14" xfId="0" applyNumberFormat="1" applyFont="1" applyFill="1" applyBorder="1" applyAlignment="1">
      <x:alignment horizontal="right" vertical="center" wrapText="1"/>
    </x:xf>
    <x:xf numFmtId="4" fontId="2" fillId="5" borderId="14" xfId="0" applyNumberFormat="1" applyFont="1" applyFill="1" applyBorder="1" applyAlignment="1">
      <x:alignment horizontal="right" vertical="center" wrapText="1"/>
    </x:xf>
    <x:xf numFmtId="3" fontId="2" fillId="4" borderId="14" xfId="0" applyNumberFormat="1" applyFont="1" applyFill="1" applyBorder="1" applyAlignment="1">
      <x:alignment horizontal="right" vertical="center" wrapText="1"/>
    </x:xf>
    <x:xf numFmtId="0" fontId="4" fillId="2" borderId="13" xfId="0" applyNumberFormat="1" applyFont="1" applyFill="1" applyBorder="1"/>
    <x:xf numFmtId="164" fontId="5" fillId="2" borderId="13" xfId="0" applyNumberFormat="1" applyFont="1" applyFill="1" applyBorder="1"/>
    <x:xf numFmtId="0" fontId="4" fillId="2" borderId="13" xfId="0" applyNumberFormat="1" applyFont="1" applyFill="1" applyBorder="1" applyAlignment="1">
      <x:alignment horizontal="center"/>
    </x:xf>
    <x:xf numFmtId="0" fontId="2" fillId="2" borderId="13" xfId="0" applyNumberFormat="1" applyFont="1" applyFill="1" applyBorder="1"/>
    <x:xf numFmtId="0" fontId="2" fillId="4" borderId="14" xfId="0" applyNumberFormat="1" applyFont="1" applyFill="1" applyBorder="1" applyAlignment="1">
      <x:alignment horizontal="center" vertical="center" wrapText="1"/>
    </x:xf>
    <x:xf numFmtId="10" fontId="2" fillId="2" borderId="13" xfId="0" applyNumberFormat="1" applyFont="1" applyFill="1" applyBorder="1"/>
    <x:xf numFmtId="3" fontId="2" fillId="4" borderId="14" xfId="0" applyNumberFormat="1" applyFont="1" applyFill="1" applyBorder="1" applyAlignment="1">
      <x:alignment horizontal="center" vertical="center" wrapText="1"/>
    </x:xf>
    <x:xf numFmtId="0" fontId="4" fillId="0" borderId="13" xfId="0" applyNumberFormat="1" applyFont="1" applyFill="1" applyBorder="1"/>
    <x:xf numFmtId="0" fontId="7" fillId="0" borderId="13" xfId="0" applyNumberFormat="1" applyFont="1" applyFill="1" applyBorder="1"/>
    <x:xf numFmtId="0" fontId="8" fillId="3" borderId="14" xfId="0" applyNumberFormat="1" applyFont="1" applyFill="1" applyBorder="1" applyAlignment="1">
      <x:alignment horizontal="center" vertical="center" wrapText="1"/>
    </x:xf>
    <x:xf numFmtId="0" fontId="7" fillId="4" borderId="14" xfId="0" applyNumberFormat="1" applyFont="1" applyFill="1" applyBorder="1" applyAlignment="1">
      <x:alignment horizontal="left" vertical="center" wrapText="1"/>
    </x:xf>
    <x:xf numFmtId="0" fontId="7" fillId="5" borderId="14" xfId="0" applyNumberFormat="1" applyFont="1" applyFill="1" applyBorder="1" applyAlignment="1">
      <x:alignment horizontal="center" vertical="center" wrapText="1"/>
    </x:xf>
    <x:xf numFmtId="3" fontId="7" fillId="5" borderId="14" xfId="0" applyNumberFormat="1" applyFont="1" applyFill="1" applyBorder="1" applyAlignment="1">
      <x:alignment horizontal="center" vertical="center" wrapText="1"/>
    </x:xf>
    <x:xf numFmtId="1" fontId="7" fillId="5" borderId="14" xfId="0" applyNumberFormat="1" applyFont="1" applyFill="1" applyBorder="1" applyAlignment="1">
      <x:alignment horizontal="center" vertical="center" wrapText="1"/>
    </x:xf>
    <x:xf numFmtId="0" fontId="2" fillId="8" borderId="14" xfId="0" applyNumberFormat="1" applyFont="1" applyFill="1" applyBorder="1" applyAlignment="1">
      <x:alignment horizontal="right" vertical="center" wrapText="1"/>
    </x:xf>
    <x:xf numFmtId="10" fontId="2" fillId="9" borderId="14" xfId="0" applyNumberFormat="1" applyFont="1" applyFill="1" applyBorder="1" applyAlignment="1">
      <x:alignment horizontal="center" vertical="center" wrapText="1"/>
    </x:xf>
    <x:xf numFmtId="1" fontId="2" fillId="4" borderId="14" xfId="0" applyNumberFormat="1" applyFont="1" applyFill="1" applyBorder="1" applyAlignment="1">
      <x:alignment horizontal="center" vertical="center" wrapText="1"/>
    </x:xf>
    <x:xf numFmtId="164" fontId="2" fillId="4" borderId="14" xfId="0" applyNumberFormat="1" applyFont="1" applyFill="1" applyBorder="1" applyAlignment="1">
      <x:alignment horizontal="right" vertical="center" wrapText="1"/>
    </x:xf>
    <x:xf numFmtId="10" fontId="2" fillId="4" borderId="14" xfId="0" applyNumberFormat="1" applyFont="1" applyFill="1" applyBorder="1" applyAlignment="1">
      <x:alignment horizontal="right" vertical="center" wrapText="1"/>
    </x:xf>
    <x:xf numFmtId="0" fontId="3" fillId="6" borderId="13" xfId="0" applyNumberFormat="1" applyFont="1" applyFill="1" applyBorder="1" applyAlignment="1">
      <x:alignment vertical="center" wrapText="1"/>
    </x:xf>
    <x:xf numFmtId="0" fontId="2" fillId="4" borderId="14" xfId="0" applyNumberFormat="1" applyFont="1" applyFill="1" applyBorder="1" applyAlignment="1">
      <x:alignment horizontal="right" vertical="center" wrapText="1"/>
    </x:xf>
    <x:xf numFmtId="0" fontId="2" fillId="5" borderId="14" xfId="0" applyNumberFormat="1" applyFont="1" applyFill="1" applyBorder="1" applyAlignment="1">
      <x:alignment horizontal="center" vertical="center" wrapText="1"/>
    </x:xf>
    <x:xf numFmtId="0" fontId="4" fillId="4" borderId="14" xfId="0" applyNumberFormat="1" applyFont="1" applyFill="1" applyBorder="1" applyAlignment="1">
      <x:alignment horizontal="left" vertical="center" wrapText="1"/>
    </x:xf>
    <x:xf numFmtId="165" fontId="2" fillId="4" borderId="14" xfId="0" applyNumberFormat="1" applyFont="1" applyFill="1" applyBorder="1" applyAlignment="1">
      <x:alignment horizontal="right" vertical="center" wrapText="1"/>
    </x:xf>
    <x:xf numFmtId="2" fontId="2" fillId="4" borderId="14" xfId="0" applyNumberFormat="1" applyFont="1" applyFill="1" applyBorder="1" applyAlignment="1">
      <x:alignment horizontal="right" vertical="center" wrapText="1"/>
    </x:xf>
    <x:xf numFmtId="0" fontId="2" fillId="0" borderId="13" xfId="0" applyNumberFormat="1" applyFont="1" applyFill="1" applyBorder="1" applyAlignment="1">
      <x:alignment vertical="center"/>
    </x:xf>
    <x:xf numFmtId="0" fontId="2" fillId="4" borderId="14" xfId="0" applyNumberFormat="1" applyFont="1" applyFill="1" applyBorder="1" applyAlignment="1">
      <x:alignment vertical="center"/>
    </x:xf>
    <x:xf numFmtId="3" fontId="2" fillId="4" borderId="14" xfId="0" applyNumberFormat="1" applyFont="1" applyFill="1" applyBorder="1" applyAlignment="1">
      <x:alignment vertical="center"/>
    </x:xf>
    <x:xf numFmtId="0" fontId="2" fillId="4" borderId="14" xfId="0" applyNumberFormat="1" applyFont="1" applyFill="1" applyBorder="1" applyAlignment="1">
      <x:alignment vertical="center" wrapText="1"/>
    </x:xf>
    <x:xf numFmtId="3" fontId="2" fillId="4" borderId="14" xfId="0" applyNumberFormat="1" applyFont="1" applyFill="1" applyBorder="1" applyAlignment="1">
      <x:alignment vertical="center" wrapText="1"/>
    </x:xf>
    <x:xf numFmtId="0" fontId="9" fillId="0" borderId="13" xfId="0" applyNumberFormat="1" applyFont="1" applyFill="1" applyBorder="1" applyAlignment="1">
      <x:alignment vertical="center"/>
    </x:xf>
    <x:xf numFmtId="0" fontId="4" fillId="0" borderId="1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3" fontId="2" fillId="0" borderId="13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horizontal="center" vertical="center"/>
    </x:xf>
    <x:xf numFmtId="0" fontId="10" fillId="3" borderId="13" xfId="0" applyNumberFormat="1" applyFont="1" applyFill="1" applyBorder="1" applyAlignment="1">
      <x:alignment horizontal="center" vertical="center" wrapText="1"/>
    </x:xf>
    <x:xf numFmtId="0" fontId="3" fillId="12" borderId="14" xfId="0" applyNumberFormat="1" applyFont="1" applyFill="1" applyBorder="1" applyAlignment="1">
      <x:alignment horizontal="center"/>
    </x:xf>
    <x:xf numFmtId="0" fontId="2" fillId="0" borderId="14" xfId="0" applyNumberFormat="1" applyFont="1" applyFill="1" applyBorder="1"/>
    <x:xf numFmtId="3" fontId="2" fillId="0" borderId="13" xfId="0" applyNumberFormat="1" applyFont="1" applyFill="1" applyBorder="1"/>
    <x:xf numFmtId="166" fontId="2" fillId="0" borderId="14" xfId="0" applyNumberFormat="1" applyFont="1" applyFill="1" applyBorder="1"/>
    <x:xf numFmtId="0" fontId="13" fillId="0" borderId="13" xfId="0" applyNumberFormat="1" applyFont="1" applyFill="1" applyBorder="1"/>
    <x:xf numFmtId="10" fontId="2" fillId="0" borderId="13" xfId="0" applyNumberFormat="1" applyFont="1" applyFill="1" applyBorder="1"/>
    <x:xf numFmtId="0" fontId="14" fillId="3" borderId="14" xfId="0" applyNumberFormat="1" applyFont="1" applyFill="1" applyBorder="1" applyAlignment="1">
      <x:alignment horizontal="center" vertical="center" wrapText="1"/>
    </x:xf>
    <x:xf numFmtId="0" fontId="15" fillId="5" borderId="14" xfId="0" applyNumberFormat="1" applyFont="1" applyFill="1" applyBorder="1" applyAlignment="1">
      <x:alignment horizontal="center" vertical="center" wrapText="1"/>
    </x:xf>
    <x:xf numFmtId="0" fontId="16" fillId="4" borderId="14" xfId="0" applyNumberFormat="1" applyFont="1" applyFill="1" applyBorder="1" applyAlignment="1">
      <x:alignment horizontal="left" vertical="center" wrapText="1"/>
    </x:xf>
    <x:xf numFmtId="3" fontId="16" fillId="5" borderId="14" xfId="0" applyNumberFormat="1" applyFont="1" applyFill="1" applyBorder="1" applyAlignment="1">
      <x:alignment horizontal="right" vertical="center" wrapText="1"/>
    </x:xf>
    <x:xf numFmtId="0" fontId="16" fillId="0" borderId="14" xfId="0" applyNumberFormat="1" applyFont="1" applyFill="1" applyBorder="1" applyAlignment="1">
      <x:alignment horizontal="left" vertical="center" wrapText="1"/>
    </x:xf>
    <x:xf numFmtId="0" fontId="17" fillId="3" borderId="14" xfId="0" applyNumberFormat="1" applyFont="1" applyFill="1" applyBorder="1" applyAlignment="1">
      <x:alignment horizontal="center" vertical="center" wrapText="1"/>
    </x:xf>
    <x:xf numFmtId="3" fontId="16" fillId="4" borderId="14" xfId="0" applyNumberFormat="1" applyFont="1" applyFill="1" applyBorder="1" applyAlignment="1">
      <x:alignment horizontal="right" vertical="center" wrapText="1"/>
    </x:xf>
    <x:xf numFmtId="0" fontId="16" fillId="0" borderId="13" xfId="0" applyNumberFormat="1" applyFont="1" applyFill="1" applyBorder="1"/>
    <x:xf numFmtId="0" fontId="3" fillId="12" borderId="14" xfId="0" applyNumberFormat="1" applyFont="1" applyFill="1" applyBorder="1" applyAlignment="1">
      <x:alignment vertical="center" wrapText="1"/>
    </x:xf>
    <x:xf numFmtId="0" fontId="20" fillId="14" borderId="14" xfId="0" applyNumberFormat="1" applyFont="1" applyFill="1" applyBorder="1" applyAlignment="1">
      <x:alignment horizontal="center" vertical="center" wrapText="1"/>
    </x:xf>
    <x:xf numFmtId="0" fontId="21" fillId="2" borderId="14" xfId="0" applyNumberFormat="1" applyFont="1" applyFill="1" applyBorder="1" applyAlignment="1">
      <x:alignment vertical="center" wrapText="1"/>
    </x:xf>
    <x:xf numFmtId="0" fontId="21" fillId="0" borderId="14" xfId="0" applyNumberFormat="1" applyFont="1" applyFill="1" applyBorder="1" applyAlignment="1">
      <x:alignment vertical="center" wrapText="1"/>
    </x:xf>
    <x:xf numFmtId="3" fontId="21" fillId="0" borderId="14" xfId="0" applyNumberFormat="1" applyFont="1" applyFill="1" applyBorder="1" applyAlignment="1">
      <x:alignment vertical="center" wrapText="1"/>
    </x:xf>
    <x:xf numFmtId="0" fontId="20" fillId="16" borderId="14" xfId="0" applyNumberFormat="1" applyFont="1" applyFill="1" applyBorder="1" applyAlignment="1">
      <x:alignment horizontal="right" vertical="center" wrapText="1"/>
    </x:xf>
    <x:xf numFmtId="0" fontId="21" fillId="16" borderId="14" xfId="0" applyNumberFormat="1" applyFont="1" applyFill="1" applyBorder="1" applyAlignment="1">
      <x:alignment vertical="center" wrapText="1"/>
    </x:xf>
    <x:xf numFmtId="0" fontId="21" fillId="16" borderId="14" xfId="0" applyNumberFormat="1" applyFont="1" applyFill="1" applyBorder="1" applyAlignment="1">
      <x:alignment horizontal="left" vertical="center" wrapText="1"/>
    </x:xf>
    <x:xf numFmtId="3" fontId="21" fillId="16" borderId="14" xfId="0" applyNumberFormat="1" applyFont="1" applyFill="1" applyBorder="1" applyAlignment="1">
      <x:alignment horizontal="left" vertical="center" wrapText="1"/>
    </x:xf>
    <x:xf numFmtId="0" fontId="13" fillId="0" borderId="13" xfId="0" applyNumberFormat="1" applyFont="1" applyFill="1" applyBorder="1" applyAlignment="1">
      <x:alignment vertical="center"/>
    </x:xf>
    <x:xf numFmtId="3" fontId="2" fillId="0" borderId="13" xfId="0" applyNumberFormat="1" applyFont="1" applyFill="1" applyBorder="1" applyAlignment="1">
      <x:alignment vertical="center"/>
    </x:xf>
    <x:xf numFmtId="4" fontId="21" fillId="0" borderId="14" xfId="0" applyNumberFormat="1" applyFont="1" applyFill="1" applyBorder="1" applyAlignment="1">
      <x:alignment vertical="center" wrapText="1"/>
    </x:xf>
    <x:xf numFmtId="4" fontId="2" fillId="0" borderId="13" xfId="0" applyNumberFormat="1" applyFont="1" applyFill="1" applyBorder="1" applyAlignment="1">
      <x:alignment vertical="center"/>
    </x:xf>
    <x:xf numFmtId="9" fontId="21" fillId="0" borderId="14" xfId="0" applyNumberFormat="1" applyFont="1" applyFill="1" applyBorder="1" applyAlignment="1">
      <x:alignment vertical="center" wrapText="1"/>
    </x:xf>
    <x:xf numFmtId="0" fontId="2" fillId="0" borderId="15" xfId="0" applyNumberFormat="1" applyFont="1" applyFill="1" applyBorder="1" applyAlignment="1">
      <x:alignment vertical="center" wrapText="1"/>
    </x:xf>
    <x:xf numFmtId="0" fontId="13" fillId="17" borderId="13" xfId="0" applyNumberFormat="1" applyFont="1" applyFill="1" applyBorder="1" applyAlignment="1">
      <x:alignment horizontal="center" vertical="center"/>
    </x:xf>
    <x:xf numFmtId="10" fontId="21" fillId="0" borderId="14" xfId="0" applyNumberFormat="1" applyFont="1" applyFill="1" applyBorder="1" applyAlignment="1">
      <x:alignment vertical="center" wrapText="1"/>
    </x:xf>
    <x:xf numFmtId="166" fontId="2" fillId="0" borderId="13" xfId="0" applyNumberFormat="1" applyFont="1" applyFill="1" applyBorder="1" applyAlignment="1">
      <x:alignment vertical="center" wrapText="1"/>
    </x:xf>
    <x:xf numFmtId="0" fontId="20" fillId="16" borderId="14" xfId="0" applyNumberFormat="1" applyFont="1" applyFill="1" applyBorder="1" applyAlignment="1">
      <x:alignment vertical="center" wrapText="1"/>
    </x:xf>
    <x:xf numFmtId="4" fontId="2" fillId="0" borderId="1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horizontal="center" vertical="center"/>
    </x:xf>
    <x:xf numFmtId="0" fontId="20" fillId="16" borderId="14" xfId="0" applyNumberFormat="1" applyFont="1" applyFill="1" applyBorder="1" applyAlignment="1">
      <x:alignment horizontal="left" vertical="center" wrapText="1"/>
    </x:xf>
    <x:xf numFmtId="0" fontId="18" fillId="0" borderId="13" xfId="0" applyNumberFormat="1" applyFont="1" applyFill="1" applyBorder="1" applyAlignment="1">
      <x:alignment vertical="center"/>
    </x:xf>
    <x:xf numFmtId="0" fontId="2" fillId="0" borderId="13" xfId="0" applyNumberFormat="1" applyFont="1" applyFill="1" applyBorder="1" applyAlignment="1">
      <x:alignment horizontal="center" vertical="center" wrapText="1"/>
    </x:xf>
    <x:xf numFmtId="0" fontId="2" fillId="17" borderId="13" xfId="0" applyNumberFormat="1" applyFont="1" applyFill="1" applyBorder="1"/>
    <x:xf numFmtId="0" fontId="2" fillId="0" borderId="13" xfId="0" applyNumberFormat="1" applyFont="1" applyFill="1" applyBorder="1" applyAlignment="1">
      <x:alignment wrapText="1"/>
    </x:xf>
    <x:xf numFmtId="2" fontId="21" fillId="0" borderId="14" xfId="0" applyNumberFormat="1" applyFont="1" applyFill="1" applyBorder="1" applyAlignment="1">
      <x:alignment vertical="center" wrapText="1"/>
    </x:xf>
    <x:xf numFmtId="2" fontId="21" fillId="0" borderId="14" xfId="0" applyNumberFormat="1" applyFont="1" applyFill="1" applyBorder="1" applyAlignment="1">
      <x:alignment horizontal="right" vertical="center" wrapText="1"/>
    </x:xf>
    <x:xf numFmtId="2" fontId="2" fillId="0" borderId="13" xfId="0" applyNumberFormat="1" applyFont="1" applyFill="1" applyBorder="1" applyAlignment="1">
      <x:alignment vertical="center"/>
    </x:xf>
    <x:xf numFmtId="1" fontId="2" fillId="0" borderId="13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/>
    <x:xf numFmtId="0" fontId="2" fillId="2" borderId="13" xfId="0" applyNumberFormat="1" applyFont="1" applyFill="1" applyBorder="1" applyAlignment="1">
      <x:alignment horizontal="left" vertical="center" wrapText="1"/>
    </x:xf>
    <x:xf numFmtId="0" fontId="7" fillId="2" borderId="13" xfId="0" applyNumberFormat="1" applyFont="1" applyFill="1" applyBorder="1" applyAlignment="1">
      <x:alignment horizontal="left" vertical="center" wrapText="1"/>
    </x:xf>
    <x:xf numFmtId="0" fontId="6" fillId="0" borderId="13" xfId="0" applyNumberFormat="1" applyFont="1" applyFill="1" applyBorder="1"/>
    <x:xf numFmtId="0" fontId="3" fillId="6" borderId="13" xfId="0" applyNumberFormat="1" applyFont="1" applyFill="1" applyBorder="1" applyAlignment="1">
      <x:alignment horizontal="center" vertical="center" wrapText="1"/>
    </x:xf>
    <x:xf numFmtId="3" fontId="2" fillId="0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/>
    <x:xf numFmtId="0" fontId="3" fillId="3" borderId="16" xfId="0" applyNumberFormat="1" applyFont="1" applyFill="1" applyBorder="1" applyAlignment="1">
      <x:alignment horizontal="center" vertical="center" wrapText="1"/>
    </x:xf>
    <x:xf numFmtId="3" fontId="2" fillId="0" borderId="18" xfId="0" applyNumberFormat="1" applyFont="1" applyFill="1" applyBorder="1" applyAlignment="1">
      <x:alignment horizontal="center" vertical="center" wrapText="1"/>
    </x:xf>
    <x:xf numFmtId="0" fontId="3" fillId="3" borderId="18" xfId="0" applyNumberFormat="1" applyFont="1" applyFill="1" applyBorder="1" applyAlignment="1">
      <x:alignment horizontal="center" vertical="center" wrapText="1"/>
    </x:xf>
    <x:xf numFmtId="0" fontId="3" fillId="6" borderId="19" xfId="0" applyNumberFormat="1" applyFont="1" applyFill="1" applyBorder="1" applyAlignment="1">
      <x:alignment horizontal="center" vertical="center" wrapText="1"/>
    </x:xf>
    <x:xf numFmtId="0" fontId="0" fillId="0" borderId="19" xfId="0" applyNumberFormat="1" applyFont="1" applyFill="1" applyBorder="1"/>
    <x:xf numFmtId="2" fontId="2" fillId="0" borderId="18" xfId="0" applyNumberFormat="1" applyFont="1" applyFill="1" applyBorder="1" applyAlignment="1">
      <x:alignment horizontal="center" vertical="center" wrapText="1"/>
    </x:xf>
    <x:xf numFmtId="0" fontId="1" fillId="0" borderId="13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/>
    <x:xf numFmtId="0" fontId="0" fillId="0" borderId="20" xfId="0" applyNumberFormat="1" applyFont="1" applyFill="1" applyBorder="1"/>
    <x:xf numFmtId="0" fontId="2" fillId="0" borderId="13" xfId="0" applyNumberFormat="1" applyFont="1" applyFill="1" applyBorder="1" applyAlignment="1">
      <x:alignment horizontal="left" vertical="center" wrapText="1"/>
    </x:xf>
    <x:xf numFmtId="0" fontId="2" fillId="2" borderId="18" xfId="0" applyNumberFormat="1" applyFont="1" applyFill="1" applyBorder="1" applyAlignment="1">
      <x:alignment horizontal="left" vertical="center" wrapText="1"/>
    </x:xf>
    <x:xf numFmtId="0" fontId="11" fillId="6" borderId="13" xfId="0" applyNumberFormat="1" applyFont="1" applyFill="1" applyBorder="1" applyAlignment="1">
      <x:alignment horizontal="center" vertical="center"/>
    </x:xf>
    <x:xf numFmtId="0" fontId="2" fillId="0" borderId="16" xfId="0" applyNumberFormat="1" applyFont="1" applyFill="1" applyBorder="1" applyAlignment="1">
      <x:alignment horizontal="left" vertical="center" wrapText="1"/>
    </x:xf>
    <x:xf numFmtId="2" fontId="2" fillId="0" borderId="13" xfId="0" applyNumberFormat="1" applyFont="1" applyFill="1" applyBorder="1" applyAlignment="1">
      <x:alignment horizontal="right" vertical="center"/>
    </x:xf>
    <x:xf numFmtId="0" fontId="10" fillId="6" borderId="13" xfId="0" applyNumberFormat="1" applyFont="1" applyFill="1" applyBorder="1" applyAlignment="1">
      <x:alignment horizontal="center" vertical="center" wrapText="1"/>
    </x:xf>
    <x:xf numFmtId="0" fontId="10" fillId="3" borderId="21" xfId="0" applyNumberFormat="1" applyFont="1" applyFill="1" applyBorder="1" applyAlignment="1">
      <x:alignment horizontal="center" vertical="center"/>
    </x:xf>
    <x:xf numFmtId="0" fontId="0" fillId="0" borderId="21" xfId="0" applyNumberFormat="1" applyFont="1" applyFill="1" applyBorder="1"/>
    <x:xf numFmtId="0" fontId="3" fillId="6" borderId="22" xfId="0" applyNumberFormat="1" applyFont="1" applyFill="1" applyBorder="1" applyAlignment="1">
      <x:alignment horizontal="center" vertical="center" wrapText="1"/>
    </x:xf>
    <x:xf numFmtId="0" fontId="3" fillId="6" borderId="19" xfId="0" applyNumberFormat="1" applyFont="1" applyFill="1" applyBorder="1" applyAlignment="1">
      <x:alignment horizontal="left" vertical="center" wrapText="1"/>
    </x:xf>
    <x:xf numFmtId="0" fontId="3" fillId="3" borderId="23" xfId="0" applyNumberFormat="1" applyFont="1" applyFill="1" applyBorder="1" applyAlignment="1">
      <x:alignment horizontal="center" vertical="center" wrapText="1"/>
    </x:xf>
    <x:xf numFmtId="0" fontId="0" fillId="0" borderId="24" xfId="0" applyNumberFormat="1" applyFont="1" applyFill="1" applyBorder="1"/>
    <x:xf numFmtId="3" fontId="3" fillId="12" borderId="18" xfId="0" applyNumberFormat="1" applyFont="1" applyFill="1" applyBorder="1" applyAlignment="1">
      <x:alignment horizontal="left" vertical="center" wrapText="1"/>
    </x:xf>
    <x:xf numFmtId="3" fontId="3" fillId="12" borderId="13" xfId="0" applyNumberFormat="1" applyFont="1" applyFill="1" applyBorder="1" applyAlignment="1">
      <x:alignment horizontal="left" vertical="center" wrapText="1"/>
    </x:xf>
    <x:xf numFmtId="0" fontId="3" fillId="12" borderId="18" xfId="0" applyNumberFormat="1" applyFont="1" applyFill="1" applyBorder="1" applyAlignment="1">
      <x:alignment horizontal="left" vertical="center" wrapText="1"/>
    </x:xf>
    <x:xf numFmtId="0" fontId="3" fillId="12" borderId="13" xfId="0" applyNumberFormat="1" applyFont="1" applyFill="1" applyBorder="1" applyAlignment="1">
      <x:alignment horizontal="left" vertical="center" wrapText="1"/>
    </x:xf>
    <x:xf numFmtId="0" fontId="2" fillId="0" borderId="23" xfId="0" applyNumberFormat="1" applyFont="1" applyFill="1" applyBorder="1" applyAlignment="1">
      <x:alignment horizontal="center" vertical="center" wrapText="1"/>
    </x:xf>
    <x:xf numFmtId="0" fontId="18" fillId="0" borderId="13" xfId="0" applyNumberFormat="1" applyFont="1" applyFill="1" applyBorder="1" applyAlignment="1">
      <x:alignment vertical="center" wrapText="1"/>
    </x:xf>
    <x:xf numFmtId="0" fontId="19" fillId="0" borderId="13" xfId="0" applyNumberFormat="1" applyFont="1" applyFill="1" applyBorder="1" applyAlignment="1">
      <x:alignment vertical="center" wrapText="1"/>
    </x:xf>
    <x:xf numFmtId="0" fontId="20" fillId="14" borderId="18" xfId="0" applyNumberFormat="1" applyFont="1" applyFill="1" applyBorder="1" applyAlignment="1">
      <x:alignment horizontal="center" vertical="center" wrapText="1"/>
    </x:xf>
    <x:xf numFmtId="0" fontId="20" fillId="14" borderId="13" xfId="0" applyNumberFormat="1" applyFont="1" applyFill="1" applyBorder="1" applyAlignment="1">
      <x:alignment horizontal="center" vertical="center" wrapText="1"/>
    </x:xf>
    <x:xf numFmtId="0" fontId="2" fillId="0" borderId="18" xfId="0" applyNumberFormat="1" applyFont="1" applyFill="1" applyBorder="1" applyAlignment="1">
      <x:alignment horizontal="left" vertical="center" wrapText="1"/>
    </x:xf>
    <x:xf numFmtId="0" fontId="12" fillId="0" borderId="13" xfId="0" applyNumberFormat="1" applyFont="1" applyFill="1" applyBorder="1"/>
    <x:xf numFmtId="0" fontId="22" fillId="0" borderId="13" xfId="0" applyNumberFormat="1" applyFont="1" applyFill="1" applyBorder="1"/>
    <x:xf numFmtId="10" fontId="0" fillId="0" borderId="13" xfId="0" applyNumberFormat="1" applyFont="1" applyFill="1" applyBorder="1"/>
    <x:xf numFmtId="0" fontId="0" fillId="18" borderId="0" xfId="0" applyNumberFormat="1" applyFont="1" applyFill="1" applyBorder="1"/>
    <x:xf numFmtId="0" fontId="23" fillId="18" borderId="0" xfId="0" applyNumberFormat="1" applyFont="1" applyFill="1" applyBorder="1"/>
    <x:xf numFmtId="0" fontId="23" fillId="18" borderId="0" xfId="0" applyNumberFormat="1" applyFont="1" applyFill="1" applyBorder="1" applyAlignment="1">
      <x:alignment vertical="center"/>
    </x:xf>
    <x:xf numFmtId="0" fontId="0" fillId="18" borderId="13" xfId="0" applyNumberFormat="1" applyFont="1" applyFill="1" applyBorder="1"/>
    <x:xf numFmtId="0" fontId="23" fillId="18" borderId="13" xfId="0" applyNumberFormat="1" applyFont="1" applyFill="1" applyBorder="1"/>
    <x:xf numFmtId="0" fontId="23" fillId="18" borderId="13" xfId="0" applyNumberFormat="1" applyFont="1" applyFill="1" applyBorder="1" applyAlignment="1">
      <x:alignment vertical="center"/>
    </x:xf>
    <x:xf numFmtId="0" fontId="24" fillId="0" borderId="0" xfId="0" applyNumberFormat="1" applyFont="1" applyFill="1" applyBorder="1"/>
    <x:xf numFmtId="0" fontId="24" fillId="0" borderId="0" xfId="0" applyNumberFormat="1" applyFont="1" applyFill="1" applyBorder="1" applyAlignment="1">
      <x:alignment wrapText="1"/>
    </x:xf>
    <x:xf numFmtId="0" fontId="24" fillId="0" borderId="13" xfId="0" applyNumberFormat="1" applyFont="1" applyFill="1" applyBorder="1"/>
    <x:xf numFmtId="0" fontId="24" fillId="0" borderId="13" xfId="0" applyNumberFormat="1" applyFont="1" applyFill="1" applyBorder="1" applyAlignment="1">
      <x:alignment wrapText="1"/>
    </x:xf>
    <x:xf numFmtId="0" fontId="0" fillId="19" borderId="0" xfId="0" applyNumberFormat="1" applyFont="1" applyFill="1" applyBorder="1"/>
    <x:xf numFmtId="0" fontId="25" fillId="19" borderId="0" xfId="0" applyNumberFormat="1" applyFont="1" applyFill="1" applyBorder="1"/>
    <x:xf numFmtId="0" fontId="25" fillId="19" borderId="0" xfId="0" applyNumberFormat="1" applyFont="1" applyFill="1" applyBorder="1" applyAlignment="1">
      <x:alignment vertical="top"/>
    </x:xf>
    <x:xf numFmtId="0" fontId="0" fillId="19" borderId="13" xfId="0" applyNumberFormat="1" applyFont="1" applyFill="1" applyBorder="1"/>
    <x:xf numFmtId="0" fontId="25" fillId="19" borderId="13" xfId="0" applyNumberFormat="1" applyFont="1" applyFill="1" applyBorder="1"/>
    <x:xf numFmtId="0" fontId="25" fillId="19" borderId="13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20" borderId="0" xfId="0" applyNumberFormat="1" applyFont="1" applyFill="1" applyBorder="1"/>
    <x:xf numFmtId="0" fontId="26" fillId="20" borderId="0" xfId="0" applyNumberFormat="1" applyFont="1" applyFill="1" applyBorder="1"/>
    <x:xf numFmtId="0" fontId="26" fillId="2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3" borderId="1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  <x:xf numFmtId="0" fontId="2" fillId="5" borderId="1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/>
    <x:xf numFmtId="164" fontId="5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4" borderId="1" xfId="0" applyNumberFormat="1" applyFont="1" applyFill="1" applyBorder="1" applyAlignment="1">
      <x:alignment horizontal="center" vertical="center" wrapText="1"/>
    </x:xf>
    <x:xf numFmtId="10" fontId="2" fillId="2" borderId="0" xfId="0" applyNumberFormat="1" applyFont="1" applyFill="1" applyBorder="1"/>
    <x:xf numFmtId="0" fontId="4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3" borderId="1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2" fillId="8" borderId="1" xfId="0" applyNumberFormat="1" applyFont="1" applyFill="1" applyBorder="1" applyAlignment="1">
      <x:alignment horizontal="right"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3" fontId="2" fillId="0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horizontal="center" vertical="center" wrapText="1"/>
    </x:xf>
    <x:xf numFmtId="0" fontId="3" fillId="12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3" fontId="2" fillId="0" borderId="0" xfId="0" applyNumberFormat="1" applyFont="1" applyFill="1" applyBorder="1"/>
    <x:xf numFmtId="166" fontId="2" fillId="0" borderId="1" xfId="0" applyNumberFormat="1" applyFont="1" applyFill="1" applyBorder="1"/>
    <x:xf numFmtId="0" fontId="13" fillId="0" borderId="0" xfId="0" applyNumberFormat="1" applyFont="1" applyFill="1" applyBorder="1"/>
    <x:xf numFmtId="10" fontId="2" fillId="0" borderId="0" xfId="0" applyNumberFormat="1" applyFont="1" applyFill="1" applyBorder="1"/>
    <x:xf numFmtId="0" fontId="14" fillId="3" borderId="1" xfId="0" applyNumberFormat="1" applyFont="1" applyFill="1" applyBorder="1" applyAlignment="1">
      <x:alignment horizontal="center" vertical="center" wrapText="1"/>
    </x:xf>
    <x:xf numFmtId="0" fontId="15" fillId="5" borderId="1" xfId="0" applyNumberFormat="1" applyFont="1" applyFill="1" applyBorder="1" applyAlignment="1">
      <x:alignment horizontal="center" vertical="center" wrapText="1"/>
    </x:xf>
    <x:xf numFmtId="0" fontId="16" fillId="4" borderId="1" xfId="0" applyNumberFormat="1" applyFont="1" applyFill="1" applyBorder="1" applyAlignment="1">
      <x:alignment horizontal="left" vertical="center" wrapText="1"/>
    </x:xf>
    <x:xf numFmtId="0" fontId="16" fillId="0" borderId="1" xfId="0" applyNumberFormat="1" applyFont="1" applyFill="1" applyBorder="1" applyAlignment="1">
      <x:alignment horizontal="left" vertical="center" wrapText="1"/>
    </x:xf>
    <x:xf numFmtId="0" fontId="17" fillId="3" borderId="1" xfId="0" applyNumberFormat="1" applyFont="1" applyFill="1" applyBorder="1" applyAlignment="1">
      <x:alignment horizontal="center" vertical="center" wrapText="1"/>
    </x:xf>
    <x:xf numFmtId="0" fontId="16" fillId="0" borderId="0" xfId="0" applyNumberFormat="1" applyFont="1" applyFill="1" applyBorder="1"/>
    <x:xf numFmtId="0" fontId="3" fillId="12" borderId="1" xfId="0" applyNumberFormat="1" applyFont="1" applyFill="1" applyBorder="1" applyAlignment="1">
      <x:alignment vertical="center" wrapText="1"/>
    </x:xf>
    <x:xf numFmtId="0" fontId="20" fillId="14" borderId="1" xfId="0" applyNumberFormat="1" applyFont="1" applyFill="1" applyBorder="1" applyAlignment="1">
      <x:alignment horizontal="center" vertical="center" wrapText="1"/>
    </x:xf>
    <x:xf numFmtId="0" fontId="21" fillId="2" borderId="1" xfId="0" applyNumberFormat="1" applyFont="1" applyFill="1" applyBorder="1" applyAlignment="1">
      <x:alignment vertical="center" wrapText="1"/>
    </x:xf>
    <x:xf numFmtId="0" fontId="21" fillId="0" borderId="1" xfId="0" applyNumberFormat="1" applyFont="1" applyFill="1" applyBorder="1" applyAlignment="1">
      <x:alignment vertical="center" wrapText="1"/>
    </x:xf>
    <x:xf numFmtId="3" fontId="21" fillId="0" borderId="1" xfId="0" applyNumberFormat="1" applyFont="1" applyFill="1" applyBorder="1" applyAlignment="1">
      <x:alignment vertical="center" wrapText="1"/>
    </x:xf>
    <x:xf numFmtId="0" fontId="20" fillId="16" borderId="1" xfId="0" applyNumberFormat="1" applyFont="1" applyFill="1" applyBorder="1" applyAlignment="1">
      <x:alignment horizontal="right" vertical="center" wrapText="1"/>
    </x:xf>
    <x:xf numFmtId="0" fontId="21" fillId="16" borderId="1" xfId="0" applyNumberFormat="1" applyFont="1" applyFill="1" applyBorder="1" applyAlignment="1">
      <x:alignment vertical="center" wrapText="1"/>
    </x:xf>
    <x:xf numFmtId="0" fontId="21" fillId="16" borderId="1" xfId="0" applyNumberFormat="1" applyFont="1" applyFill="1" applyBorder="1" applyAlignment="1">
      <x:alignment horizontal="left" vertical="center" wrapText="1"/>
    </x:xf>
    <x:xf numFmtId="3" fontId="21" fillId="16" borderId="1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/>
    </x:xf>
    <x:xf numFmtId="3" fontId="2" fillId="0" borderId="0" xfId="0" applyNumberFormat="1" applyFont="1" applyFill="1" applyBorder="1" applyAlignment="1">
      <x:alignment vertical="center"/>
    </x:xf>
    <x:xf numFmtId="4" fontId="21" fillId="0" borderId="1" xfId="0" applyNumberFormat="1" applyFont="1" applyFill="1" applyBorder="1" applyAlignment="1">
      <x:alignment vertical="center" wrapText="1"/>
    </x:xf>
    <x:xf numFmtId="4" fontId="2" fillId="0" borderId="0" xfId="0" applyNumberFormat="1" applyFont="1" applyFill="1" applyBorder="1" applyAlignment="1">
      <x:alignment vertical="center"/>
    </x:xf>
    <x:xf numFmtId="9" fontId="21" fillId="0" borderId="1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 wrapText="1"/>
    </x:xf>
    <x:xf numFmtId="0" fontId="13" fillId="17" borderId="0" xfId="0" applyNumberFormat="1" applyFont="1" applyFill="1" applyBorder="1" applyAlignment="1">
      <x:alignment horizontal="center" vertical="center"/>
    </x:xf>
    <x:xf numFmtId="10" fontId="21" fillId="0" borderId="1" xfId="0" applyNumberFormat="1" applyFont="1" applyFill="1" applyBorder="1" applyAlignment="1">
      <x:alignment vertical="center" wrapText="1"/>
    </x:xf>
    <x:xf numFmtId="166" fontId="2" fillId="0" borderId="0" xfId="0" applyNumberFormat="1" applyFont="1" applyFill="1" applyBorder="1" applyAlignment="1">
      <x:alignment vertical="center" wrapText="1"/>
    </x:xf>
    <x:xf numFmtId="0" fontId="20" fillId="16" borderId="1" xfId="0" applyNumberFormat="1" applyFont="1" applyFill="1" applyBorder="1" applyAlignment="1">
      <x:alignment vertical="center" wrapText="1"/>
    </x:xf>
    <x:xf numFmtId="4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center" vertical="center"/>
    </x:xf>
    <x:xf numFmtId="0" fontId="20" fillId="16" borderId="1" xfId="0" applyNumberFormat="1" applyFont="1" applyFill="1" applyBorder="1" applyAlignment="1">
      <x:alignment horizontal="left" vertical="center" wrapText="1"/>
    </x:xf>
    <x:xf numFmtId="0" fontId="18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17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2" fontId="21" fillId="0" borderId="1" xfId="0" applyNumberFormat="1" applyFont="1" applyFill="1" applyBorder="1" applyAlignment="1">
      <x:alignment vertical="center" wrapText="1"/>
    </x:xf>
    <x:xf numFmtId="2" fontId="21" fillId="0" borderId="1" xfId="0" applyNumberFormat="1" applyFont="1" applyFill="1" applyBorder="1" applyAlignment="1">
      <x:alignment horizontal="right" vertical="center" wrapText="1"/>
    </x:xf>
    <x:xf numFmtId="2" fontId="2" fillId="0" borderId="0" xfId="0" applyNumberFormat="1" applyFont="1" applyFill="1" applyBorder="1" applyAlignment="1">
      <x:alignment vertical="center"/>
    </x:xf>
    <x:xf numFmtId="1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 vertical="center" wrapText="1"/>
    </x:xf>
    <x:xf numFmtId="3" fontId="2" fillId="0" borderId="10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/>
    <x:xf numFmtId="0" fontId="3" fillId="3" borderId="10" xfId="0" applyNumberFormat="1" applyFont="1" applyFill="1" applyBorder="1" applyAlignment="1">
      <x:alignment horizontal="center" vertical="center" wrapText="1"/>
    </x:xf>
    <x:xf numFmtId="3" fontId="2" fillId="0" borderId="7" xfId="0" applyNumberFormat="1" applyFont="1" applyFill="1" applyBorder="1" applyAlignment="1">
      <x:alignment horizontal="center" vertic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3" fillId="6" borderId="6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/>
    <x:xf numFmtId="2" fontId="2" fillId="0" borderId="7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2" fillId="0" borderId="0" xfId="0" applyNumberFormat="1" applyFont="1" applyFill="1" applyBorder="1" applyAlignment="1">
      <x:alignment horizontal="left" vertical="center" wrapText="1"/>
    </x:xf>
    <x:xf numFmtId="0" fontId="2" fillId="2" borderId="7" xfId="0" applyNumberFormat="1" applyFont="1" applyFill="1" applyBorder="1" applyAlignment="1">
      <x:alignment horizontal="left" vertical="center" wrapText="1"/>
    </x:xf>
    <x:xf numFmtId="0" fontId="11" fillId="6" borderId="0" xfId="0" applyNumberFormat="1" applyFont="1" applyFill="1" applyBorder="1" applyAlignment="1">
      <x:alignment horizontal="center" vertical="center"/>
    </x:xf>
    <x:xf numFmtId="0" fontId="2" fillId="0" borderId="10" xfId="0" applyNumberFormat="1" applyFont="1" applyFill="1" applyBorder="1" applyAlignment="1">
      <x:alignment horizontal="left" vertical="center" wrapText="1"/>
    </x:xf>
    <x:xf numFmtId="2" fontId="2" fillId="0" borderId="0" xfId="0" applyNumberFormat="1" applyFont="1" applyFill="1" applyBorder="1" applyAlignment="1">
      <x:alignment horizontal="right" vertical="center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10" fillId="3" borderId="4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3" fillId="6" borderId="8" xfId="0" applyNumberFormat="1" applyFont="1" applyFill="1" applyBorder="1" applyAlignment="1">
      <x:alignment horizontal="center" vertical="center" wrapText="1"/>
    </x:xf>
    <x:xf numFmtId="0" fontId="3" fillId="6" borderId="6" xfId="0" applyNumberFormat="1" applyFont="1" applyFill="1" applyBorder="1" applyAlignment="1">
      <x:alignment horizontal="left" vertical="center" wrapText="1"/>
    </x:xf>
    <x:xf numFmtId="0" fontId="3" fillId="3" borderId="11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3" fontId="3" fillId="12" borderId="7" xfId="0" applyNumberFormat="1" applyFont="1" applyFill="1" applyBorder="1" applyAlignment="1">
      <x:alignment horizontal="left" vertical="center" wrapText="1"/>
    </x:xf>
    <x:xf numFmtId="3" fontId="3" fillId="12" borderId="0" xfId="0" applyNumberFormat="1" applyFont="1" applyFill="1" applyBorder="1" applyAlignment="1">
      <x:alignment horizontal="left" vertical="center" wrapText="1"/>
    </x:xf>
    <x:xf numFmtId="0" fontId="3" fillId="12" borderId="7" xfId="0" applyNumberFormat="1" applyFont="1" applyFill="1" applyBorder="1" applyAlignment="1">
      <x:alignment horizontal="left" vertical="center" wrapText="1"/>
    </x:xf>
    <x:xf numFmtId="0" fontId="3" fillId="12" borderId="0" xfId="0" applyNumberFormat="1" applyFont="1" applyFill="1" applyBorder="1" applyAlignment="1">
      <x:alignment horizontal="left" vertical="center" wrapText="1"/>
    </x:xf>
    <x:xf numFmtId="0" fontId="2" fillId="0" borderId="11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vertical="center" wrapText="1"/>
    </x:xf>
    <x:xf numFmtId="0" fontId="19" fillId="0" borderId="0" xfId="0" applyNumberFormat="1" applyFont="1" applyFill="1" applyBorder="1" applyAlignment="1">
      <x:alignment vertical="center" wrapText="1"/>
    </x:xf>
    <x:xf numFmtId="0" fontId="20" fillId="14" borderId="7" xfId="0" applyNumberFormat="1" applyFont="1" applyFill="1" applyBorder="1" applyAlignment="1">
      <x:alignment horizontal="center" vertical="center" wrapText="1"/>
    </x:xf>
    <x:xf numFmtId="0" fontId="20" fillId="14" borderId="0" xfId="0" applyNumberFormat="1" applyFont="1" applyFill="1" applyBorder="1" applyAlignment="1">
      <x:alignment horizontal="center" vertical="center" wrapText="1"/>
    </x:xf>
    <x:xf numFmtId="0" fontId="2" fillId="0" borderId="7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/>
    <x:xf numFmtId="0" fontId="22" fillId="0" borderId="0" xfId="0" applyNumberFormat="1" applyFont="1" applyFill="1" applyBorder="1"/>
    <x:xf numFmtId="10" fontId="0" fillId="0" borderId="0" xfId="0" applyNumberFormat="1" applyFont="1" applyFill="1" applyBorder="1"/>
    <x:xf numFmtId="0" fontId="0" fillId="21" borderId="0" xfId="0" applyNumberFormat="1" applyFont="1" applyFill="1" applyBorder="1"/>
    <x:xf numFmtId="0" fontId="27" fillId="21" borderId="0" xfId="0" applyNumberFormat="1" applyFont="1" applyFill="1" applyBorder="1"/>
    <x:xf numFmtId="0" fontId="27" fillId="21" borderId="25" xfId="0" applyNumberFormat="1" applyFont="1" applyFill="1" applyBorder="1"/>
    <x:xf numFmtId="0" fontId="27" fillId="21" borderId="25" xfId="0" applyNumberFormat="1" applyFont="1" applyFill="1" applyBorder="1" applyAlignment="1">
      <x:alignment wrapText="1"/>
    </x:xf>
    <x:xf numFmtId="0" fontId="27" fillId="21" borderId="2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bc2ccc0904564" /><Relationship Type="http://schemas.openxmlformats.org/officeDocument/2006/relationships/theme" Target="/xl/theme/theme1.xml" Id="R8bbc15024dd5444e" /><Relationship Type="http://schemas.openxmlformats.org/officeDocument/2006/relationships/sharedStrings" Target="/xl/sharedStrings.xml" Id="Ra5c55d6dab124a3a" /><Relationship Type="http://schemas.openxmlformats.org/officeDocument/2006/relationships/worksheet" Target="/xl/worksheets/sheet1.xml" Id="Ree4e49ebbbee41d6" /><Relationship Type="http://schemas.openxmlformats.org/officeDocument/2006/relationships/worksheet" Target="/xl/worksheets/sheet2.xml" Id="R90c94173ee9444d8" /><Relationship Type="http://schemas.openxmlformats.org/officeDocument/2006/relationships/worksheet" Target="/xl/worksheets/sheet3.xml" Id="R14cf3a11e6c74b9f" /><Relationship Type="http://schemas.openxmlformats.org/officeDocument/2006/relationships/worksheet" Target="/xl/worksheets/sheet4.xml" Id="Rc6d8c276795848e9" /><Relationship Type="http://schemas.openxmlformats.org/officeDocument/2006/relationships/worksheet" Target="/xl/worksheets/sheet5.xml" Id="Reb629a3b156f4775" /><Relationship Type="http://schemas.openxmlformats.org/officeDocument/2006/relationships/worksheet" Target="/xl/worksheets/sheet6.xml" Id="Rb8aafcf6270a444f" /><Relationship Type="http://schemas.openxmlformats.org/officeDocument/2006/relationships/worksheet" Target="/xl/worksheets/sheet7.xml" Id="R91a386d4463c43a2" /><Relationship Type="http://schemas.openxmlformats.org/officeDocument/2006/relationships/worksheet" Target="/xl/worksheets/sheet8.xml" Id="Rae369d3e30e145bc" /><Relationship Type="http://schemas.openxmlformats.org/officeDocument/2006/relationships/worksheet" Target="/xl/worksheets/sheet9.xml" Id="R11ef35ddfb85416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40" style="1" customWidth="1"/>
    <x:col min="2" max="3" width="18" style="1" customWidth="1"/>
    <x:col min="4" max="4" width="55" style="1" customWidth="1"/>
    <x:col min="5" max="6" width="12" style="1" customWidth="1"/>
    <x:col min="7" max="7" width="20.83203125" style="1" customWidth="1"/>
    <x:col min="8" max="9" width="8.83203125" style="1" customWidth="1"/>
    <x:col min="10" max="16384" width="8.83203125" style="1" customWidth="0"/>
  </x:cols>
  <x:sheetData>
    <x:row r="1" ht="18">
      <x:c r="A1" s="95" t="str">
        <x:v>B2B SaaS Pricing &amp; Unit Economics — Inputs</x:v>
      </x:c>
      <x:c r="B1" s="96"/>
      <x:c r="C1" s="96"/>
      <x:c r="D1" s="96"/>
      <x:c r="E1"/>
      <x:c r="F1"/>
      <x:c r="G1"/>
    </x:row>
    <x:row r="2">
      <x:c r="A2"/>
      <x:c r="B2"/>
      <x:c r="C2"/>
      <x:c r="D2"/>
      <x:c r="E2"/>
      <x:c r="F2"/>
      <x:c r="G2"/>
    </x:row>
    <x:row r="3" ht="16">
      <x:c r="A3" s="2" t="str">
        <x:v>Parameter</x:v>
      </x:c>
      <x:c r="B3" s="2" t="str">
        <x:v>Value</x:v>
      </x:c>
      <x:c r="C3" s="2" t="str">
        <x:v>Unit</x:v>
      </x:c>
      <x:c r="D3" s="2" t="str">
        <x:v>Notes</x:v>
      </x:c>
      <x:c r="E3" s="2" t="str">
        <x:v>Min_Users</x:v>
      </x:c>
      <x:c r="F3" s="2" t="str">
        <x:v>Max_Users</x:v>
      </x:c>
      <x:c r="G3" s="2" t="str">
        <x:v>Volume_Discount_Pct</x:v>
      </x:c>
    </x:row>
    <x:row r="4" ht="16">
      <x:c r="A4" s="3" t="str">
        <x:v>Currency</x:v>
      </x:c>
      <x:c r="B4" s="25" t="str">
        <x:v>USD</x:v>
      </x:c>
      <x:c r="C4" s="3"/>
      <x:c r="D4" s="3" t="str">
        <x:v>Reporting currency</x:v>
      </x:c>
      <x:c r="E4" s="5" t="n">
        <x:v>0</x:v>
      </x:c>
      <x:c r="F4" s="5" t="n">
        <x:v>20</x:v>
      </x:c>
      <x:c r="G4" s="6" t="n">
        <x:v>0</x:v>
      </x:c>
    </x:row>
    <x:row r="5" ht="16">
      <x:c r="A5" s="3" t="str">
        <x:v>VAT_Pct</x:v>
      </x:c>
      <x:c r="B5" s="7" t="n">
        <x:v>0.1</x:v>
      </x:c>
      <x:c r="C5" s="3" t="str">
        <x:v>%</x:v>
      </x:c>
      <x:c r="D5" s="3" t="str">
        <x:v>VAT applied on top of net prices</x:v>
      </x:c>
      <x:c r="E5" s="5" t="n">
        <x:v>21</x:v>
      </x:c>
      <x:c r="F5" s="5" t="n">
        <x:v>90</x:v>
      </x:c>
      <x:c r="G5" s="6" t="n">
        <x:v>0.05</x:v>
      </x:c>
    </x:row>
    <x:row r="6" ht="16">
      <x:c r="A6" s="3" t="str">
        <x:v>ROI_Target_Pct</x:v>
      </x:c>
      <x:c r="B6" s="7" t="n">
        <x:v>0.35</x:v>
      </x:c>
      <x:c r="C6" s="3" t="str">
        <x:v>%</x:v>
      </x:c>
      <x:c r="D6" s="3" t="str">
        <x:v>Target ROI = (Revenue - Costs) / Costs</x:v>
      </x:c>
      <x:c r="E6" s="5" t="n">
        <x:v>90</x:v>
      </x:c>
      <x:c r="F6" s="5" t="n">
        <x:v>8600</x:v>
      </x:c>
      <x:c r="G6" s="6" t="n">
        <x:v>0.1</x:v>
      </x:c>
    </x:row>
    <x:row r="7" ht="32">
      <x:c r="A7" s="3" t="str">
        <x:v>Cost_Escalation_Base_Pct</x:v>
      </x:c>
      <x:c r="B7" s="7" t="n">
        <x:v>0.02</x:v>
      </x:c>
      <x:c r="C7" s="3" t="str">
        <x:v>%</x:v>
      </x:c>
      <x:c r="D7" s="3" t="str">
        <x:v>Baseline annual cost escalation (client preference). Use higher only in stress tests.</x:v>
      </x:c>
      <x:c r="E7"/>
      <x:c r="F7"/>
      <x:c r="G7"/>
    </x:row>
    <x:row r="8" ht="16">
      <x:c r="A8" s="3" t="str">
        <x:v>Burn_Annual_Current</x:v>
      </x:c>
      <x:c r="B8" s="8" t="n">
        <x:v>952000</x:v>
      </x:c>
      <x:c r="C8" s="3" t="str">
        <x:v>USD/year</x:v>
      </x:c>
      <x:c r="D8" s="3" t="str">
        <x:v>Current annual burn</x:v>
      </x:c>
      <x:c r="E8" s="97" t="str">
        <x:v>Note: Volume discount lookup uses Min_Users (approx match).</x:v>
      </x:c>
      <x:c r="F8" s="96"/>
      <x:c r="G8" s="96"/>
    </x:row>
    <x:row r="9" ht="16">
      <x:c r="A9" s="3" t="str">
        <x:v>Burn_Capacity_Users_Current</x:v>
      </x:c>
      <x:c r="B9" s="9" t="n">
        <x:v>270</x:v>
      </x:c>
      <x:c r="C9" s="3" t="str">
        <x:v>users</x:v>
      </x:c>
      <x:c r="D9" s="3" t="str">
        <x:v>Capacity at current burn (no additional hiring/infra)</x:v>
      </x:c>
      <x:c r="E9"/>
      <x:c r="F9"/>
      <x:c r="G9"/>
    </x:row>
    <x:row r="10" ht="16">
      <x:c r="A10" s="3" t="str">
        <x:v>Burn_Annual_StageB</x:v>
      </x:c>
      <x:c r="B10" s="8" t="n">
        <x:v>1721000</x:v>
      </x:c>
      <x:c r="C10" s="3" t="str">
        <x:v>USD/year</x:v>
      </x:c>
      <x:c r="D10" s="3" t="str">
        <x:v>Stage B (Growth) annual cost base</x:v>
      </x:c>
      <x:c r="E10"/>
      <x:c r="F10"/>
      <x:c r="G10"/>
    </x:row>
    <x:row r="11" ht="16">
      <x:c r="A11" s="3" t="str">
        <x:v>Burn_Annual_StageC</x:v>
      </x:c>
      <x:c r="B11" s="8" t="n">
        <x:v>2119000</x:v>
      </x:c>
      <x:c r="C11" s="3" t="str">
        <x:v>USD/year</x:v>
      </x:c>
      <x:c r="D11" s="3" t="str">
        <x:v>Stage C (Full scale) annual cost base</x:v>
      </x:c>
      <x:c r="E11"/>
      <x:c r="F11"/>
      <x:c r="G11"/>
    </x:row>
    <x:row r="12" ht="16">
      <x:c r="A12" s="3" t="str">
        <x:v>StageA_Ongoing_Burn_Annual</x:v>
      </x:c>
      <x:c r="B12" s="10" t="n">
        <x:v>250000</x:v>
      </x:c>
      <x:c r="C12" s="3" t="str">
        <x:v>USD/year</x:v>
      </x:c>
      <x:c r="D12" s="3" t="str">
        <x:v>Stage A ongoing pilot burn (for reference / earlier sanity checks)</x:v>
      </x:c>
      <x:c r="E12"/>
      <x:c r="F12"/>
      <x:c r="G12"/>
    </x:row>
    <x:row r="13" ht="16">
      <x:c r="A13" s="3" t="str">
        <x:v>StageA_Total_Burn_Annual</x:v>
      </x:c>
      <x:c r="B13" s="10" t="n">
        <x:v>995000</x:v>
      </x:c>
      <x:c r="C13" s="3" t="str">
        <x:v>USD/year</x:v>
      </x:c>
      <x:c r="D13" s="3" t="str">
        <x:v>Stage A total incl. temporary/one-time roles (for reference)</x:v>
      </x:c>
      <x:c r="E13"/>
      <x:c r="F13"/>
      <x:c r="G13"/>
    </x:row>
    <x:row r="14" ht="16">
      <x:c r="A14" s="3" t="str">
        <x:v>Pricing_Mode</x:v>
      </x:c>
      <x:c r="B14" s="4" t="str">
        <x:v>RoleBased</x:v>
      </x:c>
      <x:c r="C14" s="3"/>
      <x:c r="D14" s="3" t="str">
        <x:v>Data validation: Flat or RoleBased</x:v>
      </x:c>
      <x:c r="E14"/>
      <x:c r="F14"/>
      <x:c r="G14"/>
    </x:row>
    <x:row r="15" ht="16">
      <x:c r="A15" s="3" t="str">
        <x:v>Price_Core_User_PM_Base</x:v>
      </x:c>
      <x:c r="B15" s="48" t="n">
        <x:v>315</x:v>
      </x:c>
      <x:c r="C15" s="3" t="str">
        <x:v>USD/user/month</x:v>
      </x:c>
      <x:c r="D15" s="3" t="str">
        <x:v>Core platform price per seat per month (net)</x:v>
      </x:c>
      <x:c r="E15"/>
      <x:c r="F15"/>
      <x:c r="G15"/>
    </x:row>
    <x:row r="16" ht="16">
      <x:c r="A16" s="3" t="str">
        <x:v>Price_Core_FieldUser_PM</x:v>
      </x:c>
      <x:c r="B16" s="48" t="n">
        <x:v>395</x:v>
      </x:c>
      <x:c r="C16" s="3" t="str">
        <x:v>USD/user/month</x:v>
      </x:c>
      <x:c r="D16" s="3" t="str">
        <x:v>Used only if Pricing_Mode=RoleBased</x:v>
      </x:c>
      <x:c r="E16"/>
      <x:c r="F16"/>
      <x:c r="G16"/>
    </x:row>
    <x:row r="17" ht="16">
      <x:c r="A17" s="3" t="str">
        <x:v>Price_Core_TeamAdmin_PM</x:v>
      </x:c>
      <x:c r="B17" s="48" t="n">
        <x:v>450</x:v>
      </x:c>
      <x:c r="C17" s="3" t="str">
        <x:v>USD/user/month</x:v>
      </x:c>
      <x:c r="D17" s="3" t="str">
        <x:v>Used only if Pricing_Mode=RoleBased</x:v>
      </x:c>
      <x:c r="E17"/>
      <x:c r="F17"/>
      <x:c r="G17"/>
    </x:row>
    <x:row r="18" ht="16">
      <x:c r="A18" s="3" t="str">
        <x:v>Price_Core_OpsAdmin_PM</x:v>
      </x:c>
      <x:c r="B18" s="48" t="n">
        <x:v>540</x:v>
      </x:c>
      <x:c r="C18" s="3" t="str">
        <x:v>USD/user/month</x:v>
      </x:c>
      <x:c r="D18" s="3" t="str">
        <x:v>Used only if Pricing_Mode=RoleBased</x:v>
      </x:c>
      <x:c r="E18"/>
      <x:c r="F18"/>
      <x:c r="G18"/>
    </x:row>
    <x:row r="19" ht="16">
      <x:c r="A19" s="3" t="str">
        <x:v>Price_Core_Executive_PM</x:v>
      </x:c>
      <x:c r="B19" s="48" t="n">
        <x:v>630</x:v>
      </x:c>
      <x:c r="C19" s="3" t="str">
        <x:v>USD/user/month</x:v>
      </x:c>
      <x:c r="D19" s="3" t="str">
        <x:v>Used only if Pricing_Mode=RoleBased</x:v>
      </x:c>
      <x:c r="E19"/>
      <x:c r="F19"/>
      <x:c r="G19"/>
    </x:row>
    <x:row r="20" ht="32">
      <x:c r="A20" s="3" t="str">
        <x:v>Advanced_Uplift_Per_User_PM</x:v>
      </x:c>
      <x:c r="B20" s="8" t="n">
        <x:v>110</x:v>
      </x:c>
      <x:c r="C20" s="3" t="str">
        <x:v>USD/user/month</x:v>
      </x:c>
      <x:c r="D20" s="3" t="str">
        <x:v>Incremental Advanced module uplift (net). Applied only to ALS-enabled clinical users.</x:v>
      </x:c>
      <x:c r="E20"/>
      <x:c r="F20"/>
      <x:c r="G20"/>
    </x:row>
    <x:row r="21" ht="32">
      <x:c r="A21" s="3" t="str">
        <x:v>Premium_Uplift_Per_User_PM</x:v>
      </x:c>
      <x:c r="B21" s="8" t="n">
        <x:v>160</x:v>
      </x:c>
      <x:c r="C21" s="3" t="str">
        <x:v>USD/user/month</x:v>
      </x:c>
      <x:c r="D21" s="3" t="str">
        <x:v>Incremental CC module uplift (net). Applied only to CC-enabled clinical users.</x:v>
      </x:c>
      <x:c r="E21"/>
      <x:c r="F21"/>
      <x:c r="G21"/>
    </x:row>
    <x:row r="22" ht="16">
      <x:c r="A22" s="3" t="str">
        <x:v>Support_247_Monthly_Fee</x:v>
      </x:c>
      <x:c r="B22" s="8" t="n">
        <x:v>75</x:v>
      </x:c>
      <x:c r="C22" s="3" t="str">
        <x:v>USD/user/month</x:v>
      </x:c>
      <x:c r="D22" s="3" t="str">
        <x:v>24/7 support upgrade (net, per user)</x:v>
      </x:c>
      <x:c r="E22"/>
      <x:c r="F22"/>
      <x:c r="G22"/>
    </x:row>
    <x:row r="23" ht="16">
      <x:c r="A23" s="59" t="str">
        <x:v>Storage_Tier1_Annual_Fee_TBD</x:v>
      </x:c>
      <x:c r="B23" s="60" t="n">
        <x:v>0</x:v>
      </x:c>
      <x:c r="C23" s="59" t="str">
        <x:v>USD/year</x:v>
      </x:c>
      <x:c r="D23" s="61" t="str">
        <x:v>Not active in current catalog. Workshop item only.</x:v>
      </x:c>
      <x:c r="E23"/>
      <x:c r="F23"/>
      <x:c r="G23"/>
    </x:row>
    <x:row r="24" ht="16">
      <x:c r="A24" s="59" t="str">
        <x:v>Training_Implementation_Fee_Y1</x:v>
      </x:c>
      <x:c r="B24" s="60" t="n">
        <x:v>0</x:v>
      </x:c>
      <x:c r="C24" s="59" t="str">
        <x:v>USD (one-time)</x:v>
      </x:c>
      <x:c r="D24" s="61" t="str">
        <x:v>Not active in current catalog. Workshop item only.</x:v>
      </x:c>
      <x:c r="E24"/>
      <x:c r="F24"/>
      <x:c r="G24"/>
    </x:row>
    <x:row r="25" ht="16">
      <x:c r="A25" s="59" t="str">
        <x:v>Activation_Fee_Y1</x:v>
      </x:c>
      <x:c r="B25" s="60" t="n">
        <x:v>0</x:v>
      </x:c>
      <x:c r="C25" s="59" t="str">
        <x:v>USD (one-time)</x:v>
      </x:c>
      <x:c r="D25" s="61" t="str">
        <x:v>Not active in current catalog. Workshop item only.</x:v>
      </x:c>
      <x:c r="E25"/>
      <x:c r="F25"/>
      <x:c r="G25"/>
    </x:row>
    <x:row r="26" ht="16">
      <x:c r="A26" s="3" t="str">
        <x:v>OnPrem_Setup_Fee_Small</x:v>
      </x:c>
      <x:c r="B26" s="8" t="n">
        <x:v>21500</x:v>
      </x:c>
      <x:c r="C26" s="3" t="str">
        <x:v>USD (one-time)</x:v>
      </x:c>
      <x:c r="D26" s="3" t="str">
        <x:v>On-prem setup fee — Small tier</x:v>
      </x:c>
      <x:c r="E26"/>
      <x:c r="F26"/>
      <x:c r="G26"/>
    </x:row>
    <x:row r="27" ht="16">
      <x:c r="A27" s="3" t="str">
        <x:v>OnPrem_Setup_Fee_Mid</x:v>
      </x:c>
      <x:c r="B27" s="8" t="n">
        <x:v>43000</x:v>
      </x:c>
      <x:c r="C27" s="3" t="str">
        <x:v>USD (one-time)</x:v>
      </x:c>
      <x:c r="D27" s="3" t="str">
        <x:v>On-prem setup fee — Mid tier</x:v>
      </x:c>
      <x:c r="E27"/>
      <x:c r="F27"/>
      <x:c r="G27"/>
    </x:row>
    <x:row r="28" ht="16">
      <x:c r="A28" s="3" t="str">
        <x:v>OnPrem_Setup_Fee_Large</x:v>
      </x:c>
      <x:c r="B28" s="8" t="n">
        <x:v>77400</x:v>
      </x:c>
      <x:c r="C28" s="3" t="str">
        <x:v>USD (one-time)</x:v>
      </x:c>
      <x:c r="D28" s="3" t="str">
        <x:v>On-prem setup fee — Large tier</x:v>
      </x:c>
      <x:c r="E28"/>
      <x:c r="F28"/>
      <x:c r="G28"/>
    </x:row>
    <x:row r="29" ht="32">
      <x:c r="A29" s="3" t="str">
        <x:v>OnPrem_Maint_Fee_PM_Small</x:v>
      </x:c>
      <x:c r="B29" s="8" t="n">
        <x:v>3450</x:v>
      </x:c>
      <x:c r="C29" s="3" t="str">
        <x:v>USD/month</x:v>
      </x:c>
      <x:c r="D29" s="3" t="str">
        <x:v>On-prem maintenance — Small tier (billed annually upfront in model)</x:v>
      </x:c>
      <x:c r="E29"/>
      <x:c r="F29"/>
      <x:c r="G29"/>
    </x:row>
    <x:row r="30" ht="16">
      <x:c r="A30" s="3" t="str">
        <x:v>OnPrem_Maint_Fee_PM_Mid</x:v>
      </x:c>
      <x:c r="B30" s="8" t="n">
        <x:v>6000</x:v>
      </x:c>
      <x:c r="C30" s="3" t="str">
        <x:v>USD/month</x:v>
      </x:c>
      <x:c r="D30" s="3" t="str">
        <x:v>On-prem maintenance — Mid tier</x:v>
      </x:c>
      <x:c r="E30"/>
      <x:c r="F30"/>
      <x:c r="G30"/>
    </x:row>
    <x:row r="31" ht="16">
      <x:c r="A31" s="3" t="str">
        <x:v>OnPrem_Maint_Fee_PM_Large</x:v>
      </x:c>
      <x:c r="B31" s="8" t="n">
        <x:v>10300</x:v>
      </x:c>
      <x:c r="C31" s="3" t="str">
        <x:v>USD/month</x:v>
      </x:c>
      <x:c r="D31" s="3" t="str">
        <x:v>On-prem maintenance — Large tier</x:v>
      </x:c>
      <x:c r="E31"/>
      <x:c r="F31"/>
      <x:c r="G31"/>
    </x:row>
    <x:row r="32" ht="16">
      <x:c r="A32" s="3" t="str">
        <x:v>CustomBranding_OneTime_Fee</x:v>
      </x:c>
      <x:c r="B32" s="8" t="n">
        <x:v>2600</x:v>
      </x:c>
      <x:c r="C32" s="3" t="str">
        <x:v>USD</x:v>
      </x:c>
      <x:c r="D32" s="3" t="str">
        <x:v>Custom report branding (PDF logo/identity)</x:v>
      </x:c>
      <x:c r="E32"/>
      <x:c r="F32"/>
      <x:c r="G32"/>
    </x:row>
    <x:row r="33" ht="16">
      <x:c r="A33" s="3" t="str">
        <x:v>API_Read_OneTime_Fee</x:v>
      </x:c>
      <x:c r="B33" s="8" t="n">
        <x:v>8600</x:v>
      </x:c>
      <x:c r="C33" s="3" t="str">
        <x:v>USD</x:v>
      </x:c>
      <x:c r="D33" s="3" t="str">
        <x:v>API integration — one-way (read)</x:v>
      </x:c>
      <x:c r="E33"/>
      <x:c r="F33"/>
      <x:c r="G33"/>
    </x:row>
    <x:row r="34" ht="16">
      <x:c r="A34" s="3" t="str">
        <x:v>API_ReadWrite_OneTime_Fee</x:v>
      </x:c>
      <x:c r="B34" s="8" t="n">
        <x:v>21500</x:v>
      </x:c>
      <x:c r="C34" s="3" t="str">
        <x:v>USD</x:v>
      </x:c>
      <x:c r="D34" s="3" t="str">
        <x:v>API integration — two-way (read+write)</x:v>
      </x:c>
      <x:c r="E34"/>
      <x:c r="F34"/>
      <x:c r="G34"/>
    </x:row>
    <x:row r="35" ht="16">
      <x:c r="A35" s="3" t="str">
        <x:v>Term_2Y_Discount_Pct</x:v>
      </x:c>
      <x:c r="B35" s="7" t="n">
        <x:v>0.05</x:v>
      </x:c>
      <x:c r="C35" s="3" t="str">
        <x:v>%</x:v>
      </x:c>
      <x:c r="D35" s="3" t="str">
        <x:v>Discount for 2-year commitment (annualized)</x:v>
      </x:c>
      <x:c r="E35"/>
      <x:c r="F35"/>
      <x:c r="G35"/>
    </x:row>
    <x:row r="36" ht="16">
      <x:c r="A36" s="3" t="str">
        <x:v>Term_3Y_Discount_Pct</x:v>
      </x:c>
      <x:c r="B36" s="7" t="n">
        <x:v>0.1</x:v>
      </x:c>
      <x:c r="C36" s="3" t="str">
        <x:v>%</x:v>
      </x:c>
      <x:c r="D36" s="3" t="str">
        <x:v>Discount for 3-year commitment (annualized)</x:v>
      </x:c>
      <x:c r="E36"/>
      <x:c r="F36"/>
      <x:c r="G36"/>
    </x:row>
    <x:row r="37" ht="16">
      <x:c r="A37" s="3" t="str">
        <x:v>EarlyAdopter_Discount_Pct</x:v>
      </x:c>
      <x:c r="B37" s="7" t="n">
        <x:v>0.05</x:v>
      </x:c>
      <x:c r="C37" s="3" t="str">
        <x:v>%</x:v>
      </x:c>
      <x:c r="D37" s="3" t="str">
        <x:v>Optional early-adopter discount</x:v>
      </x:c>
      <x:c r="E37"/>
      <x:c r="F37"/>
      <x:c r="G37"/>
    </x:row>
    <x:row r="38" ht="16">
      <x:c r="A38" s="3" t="str">
        <x:v>Max_Total_Discount_Pct</x:v>
      </x:c>
      <x:c r="B38" s="7" t="n">
        <x:v>0.145</x:v>
      </x:c>
      <x:c r="C38" s="3" t="str">
        <x:v>%</x:v>
      </x:c>
      <x:c r="D38" s="3" t="str">
        <x:v>Guardrail: maximum combined discount</x:v>
      </x:c>
      <x:c r="E38"/>
      <x:c r="F38"/>
      <x:c r="G38"/>
    </x:row>
    <x:row r="39" ht="16">
      <x:c r="A39" s="3" t="str">
        <x:v>Renewal_Price_Adj_Y2_Pct</x:v>
      </x:c>
      <x:c r="B39" s="7" t="n">
        <x:f>B7</x:f>
        <x:v>0.02</x:v>
      </x:c>
      <x:c r="C39" s="3" t="str">
        <x:v>%</x:v>
      </x:c>
      <x:c r="D39" s="3" t="str">
        <x:v>Renewal adjustment applied to recurring components for Year 2</x:v>
      </x:c>
      <x:c r="E39"/>
      <x:c r="F39"/>
      <x:c r="G39"/>
    </x:row>
    <x:row r="40" ht="16">
      <x:c r="A40" s="3" t="str">
        <x:v>Renewal_Price_Adj_Y3_Pct</x:v>
      </x:c>
      <x:c r="B40" s="7" t="n">
        <x:f>B7</x:f>
        <x:v>0.02</x:v>
      </x:c>
      <x:c r="C40" s="3" t="str">
        <x:v>%</x:v>
      </x:c>
      <x:c r="D40" s="3" t="str">
        <x:v>Renewal adjustment applied to recurring components for Year 3</x:v>
      </x:c>
      <x:c r="E40"/>
      <x:c r="F40"/>
      <x:c r="G40"/>
    </x:row>
    <x:row r="41" ht="16">
      <x:c r="A41" s="3" t="str">
        <x:v>CAC_Per_Customer</x:v>
      </x:c>
      <x:c r="B41" s="8" t="n">
        <x:v>51600</x:v>
      </x:c>
      <x:c r="C41" s="3" t="str">
        <x:v>USD</x:v>
      </x:c>
      <x:c r="D41" s="3" t="str">
        <x:v>Unvalidated assumption. Cost to acquire one operator</x:v>
      </x:c>
      <x:c r="E41"/>
      <x:c r="F41"/>
      <x:c r="G41"/>
    </x:row>
    <x:row r="42" ht="16">
      <x:c r="A42" s="3" t="str">
        <x:v>Annual_Churn_Rate</x:v>
      </x:c>
      <x:c r="B42" s="7" t="n">
        <x:v>0.08</x:v>
      </x:c>
      <x:c r="C42" s="3" t="str">
        <x:v>%</x:v>
      </x:c>
      <x:c r="D42" s="3" t="str">
        <x:v>Unvalidated assumption. Annual customer churn</x:v>
      </x:c>
      <x:c r="E42"/>
      <x:c r="F42"/>
      <x:c r="G42"/>
    </x:row>
    <x:row r="43" ht="16">
      <x:c r="A43" s="3" t="str">
        <x:v>Discount_Rate_LTV</x:v>
      </x:c>
      <x:c r="B43" s="7" t="n">
        <x:v>0.1</x:v>
      </x:c>
      <x:c r="C43" s="3" t="str">
        <x:v>%</x:v>
      </x:c>
      <x:c r="D43" s="3" t="str">
        <x:v>Unvalidated assumption. Discount rate used in LTV</x:v>
      </x:c>
      <x:c r="E43"/>
      <x:c r="F43"/>
      <x:c r="G43"/>
    </x:row>
    <x:row r="44" ht="16">
      <x:c r="A44" s="3" t="str">
        <x:v>Gross_Margin_Pct</x:v>
      </x:c>
      <x:c r="B44" s="7" t="n">
        <x:v>0.75</x:v>
      </x:c>
      <x:c r="C44" s="3" t="str">
        <x:v>%</x:v>
      </x:c>
      <x:c r="D44" s="3" t="str">
        <x:v>Unvalidated assumption. Contribution margin on net revenue</x:v>
      </x:c>
      <x:c r="E44"/>
      <x:c r="F44"/>
      <x:c r="G44"/>
    </x:row>
    <x:row r="45" ht="32">
      <x:c r="A45" s="3" t="str">
        <x:v>Market_Adjustment_BLS_Pct</x:v>
      </x:c>
      <x:c r="B45" s="7" t="n">
        <x:v>0</x:v>
      </x:c>
      <x:c r="C45" s="3" t="str">
        <x:v>%</x:v>
      </x:c>
      <x:c r="D45" s="3" t="str">
        <x:v>Top-down adjustment after WTP/benchmarking (0 until integrated)</x:v>
      </x:c>
      <x:c r="E45"/>
      <x:c r="F45"/>
      <x:c r="G45"/>
    </x:row>
    <x:row r="46" ht="32">
      <x:c r="A46" s="3" t="str">
        <x:v>Market_Adjustment_ALS_Pct</x:v>
      </x:c>
      <x:c r="B46" s="7" t="n">
        <x:v>0</x:v>
      </x:c>
      <x:c r="C46" s="3" t="str">
        <x:v>%</x:v>
      </x:c>
      <x:c r="D46" s="3" t="str">
        <x:v>Top-down adjustment after WTP/benchmarking (0 until integrated)</x:v>
      </x:c>
      <x:c r="E46"/>
      <x:c r="F46"/>
      <x:c r="G46"/>
    </x:row>
    <x:row r="47" ht="32">
      <x:c r="A47" s="3" t="str">
        <x:v>Market_Adjustment_CC_Pct</x:v>
      </x:c>
      <x:c r="B47" s="7" t="n">
        <x:v>0</x:v>
      </x:c>
      <x:c r="C47" s="3" t="str">
        <x:v>%</x:v>
      </x:c>
      <x:c r="D47" s="3" t="str">
        <x:v>Top-down adjustment after WTP/benchmarking (0 until integrated)</x:v>
      </x:c>
      <x:c r="E47"/>
      <x:c r="F47"/>
      <x:c r="G47"/>
    </x:row>
    <x:row r="48" ht="32">
      <x:c r="A48" s="1" t="str">
        <x:v>Default_Impl_Per_User</x:v>
      </x:c>
      <x:c r="B48" s="89" t="n">
        <x:v>2050</x:v>
      </x:c>
      <x:c r="C48" s="3" t="str">
        <x:v>USD</x:v>
      </x:c>
      <x:c r="D48" s="90" t="str">
        <x:v>Default remote implementation and training fee per user in Year 1. Applied to all customers by default.</x:v>
      </x:c>
      <x:c r="E48"/>
      <x:c r="F48"/>
      <x:c r="G48"/>
    </x:row>
    <x:row r="49" ht="32">
      <x:c r="A49" s="1" t="str">
        <x:v>Onsite_Impl_Standard_Per_User</x:v>
      </x:c>
      <x:c r="B49" s="89" t="n">
        <x:v>450</x:v>
      </x:c>
      <x:c r="C49" s="3" t="str">
        <x:v>USD</x:v>
      </x:c>
      <x:c r="D49" s="90" t="str">
        <x:v>Optional on-site implementation upgrade per user for Standard rollout. Added on top of the default remote implementation fee.</x:v>
      </x:c>
      <x:c r="E49"/>
      <x:c r="F49"/>
      <x:c r="G49"/>
    </x:row>
    <x:row r="50" ht="32">
      <x:c r="A50" s="1" t="str">
        <x:v>Onsite_Impl_Enterprise_Per_User</x:v>
      </x:c>
      <x:c r="B50" s="89" t="n">
        <x:v>675</x:v>
      </x:c>
      <x:c r="C50" s="3" t="str">
        <x:v>USD</x:v>
      </x:c>
      <x:c r="D50" s="90" t="str">
        <x:v>Optional on-site implementation upgrade per user for Enterprise rollout. Added on top of the default remote implementation fee.</x:v>
      </x:c>
      <x:c r="E50"/>
      <x:c r="F50"/>
      <x:c r="G50"/>
    </x:row>
  </x:sheetData>
  <x:mergeCells>
    <x:mergeCell ref="A1:D1"/>
    <x:mergeCell ref="E8:G8"/>
  </x:mergeCells>
  <x:dataValidations count="1">
    <x:dataValidation type="list" sqref="B14">
      <x:formula1>"Flat,RoleBased"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83203125" defaultRowHeight="15"/>
  <x:cols>
    <x:col min="1" max="1" width="18.5" style="1" customWidth="1"/>
    <x:col min="2" max="2" width="31.83203125" style="1" customWidth="1"/>
    <x:col min="3" max="3" width="18" style="1" customWidth="1"/>
    <x:col min="4" max="4" width="16.6640625" style="1" customWidth="1"/>
    <x:col min="5" max="6" width="17.1640625" style="1" customWidth="1"/>
    <x:col min="7" max="7" width="15.6640625" style="1" customWidth="1"/>
    <x:col min="8" max="9" width="8.83203125" style="1" customWidth="1"/>
    <x:col min="10" max="16384" width="8.83203125" style="1" customWidth="0"/>
  </x:cols>
  <x:sheetData>
    <x:row r="1" ht="19" customHeight="1">
      <x:c r="A1" s="95" t="str">
        <x:v>Roles &amp; Bundles</x:v>
      </x:c>
      <x:c r="B1" s="96"/>
      <x:c r="C1" s="96"/>
      <x:c r="D1" s="96"/>
      <x:c r="E1" s="96"/>
      <x:c r="F1" s="96"/>
      <x:c r="G1" s="96"/>
    </x:row>
    <x:row r="2">
      <x:c r="A2"/>
      <x:c r="B2"/>
      <x:c r="C2"/>
      <x:c r="D2"/>
      <x:c r="E2"/>
      <x:c r="F2" s="11" t="str">
        <x:v>Scale Factor</x:v>
      </x:c>
      <x:c r="G2" s="12" t="n">
        <x:f>IF(SUM($C$5:$C$8)&lt;=1,1,1/SUM($C$5:$C$8))</x:f>
        <x:v>1</x:v>
      </x:c>
    </x:row>
    <x:row r="3" ht="22" customHeight="1">
      <x:c r="A3" s="2" t="str">
        <x:v>Role ID</x:v>
      </x:c>
      <x:c r="B3" s="2" t="str">
        <x:v>Role Name</x:v>
      </x:c>
      <x:c r="C3" s="2" t="str">
        <x:v>Default Share Pct</x:v>
      </x:c>
      <x:c r="D3" s="2" t="str">
        <x:v>Chargeable Flag</x:v>
      </x:c>
      <x:c r="E3"/>
      <x:c r="F3" s="13" t="str">
        <x:v>Effective Share Pct</x:v>
      </x:c>
      <x:c r="G3" s="14"/>
    </x:row>
    <x:row r="4" ht="16" customHeight="1">
      <x:c r="A4" s="3" t="str">
        <x:v>Field User</x:v>
      </x:c>
      <x:c r="B4" s="3" t="str">
        <x:v>Field User</x:v>
      </x:c>
      <x:c r="C4" s="26" t="n">
        <x:v>0.8</x:v>
      </x:c>
      <x:c r="D4" s="15" t="str">
        <x:v>Y</x:v>
      </x:c>
      <x:c r="E4"/>
      <x:c r="F4" s="16" t="n">
        <x:f>MAX(0,1-SUM($F$5:$F$8))</x:f>
        <x:v>0.8</x:v>
      </x:c>
      <x:c r="G4" s="14"/>
    </x:row>
    <x:row r="5" ht="16" customHeight="1">
      <x:c r="A5" s="3" t="str">
        <x:v>BranchAdmin</x:v>
      </x:c>
      <x:c r="B5" s="3" t="str">
        <x:v>Team Admin</x:v>
      </x:c>
      <x:c r="C5" s="26" t="n">
        <x:v>0.1</x:v>
      </x:c>
      <x:c r="D5" s="15" t="str">
        <x:v>Y</x:v>
      </x:c>
      <x:c r="E5"/>
      <x:c r="F5" s="16" t="n">
        <x:f>$C5*$G$2</x:f>
        <x:v>0.1</x:v>
      </x:c>
      <x:c r="G5" s="14"/>
    </x:row>
    <x:row r="6" ht="16" customHeight="1">
      <x:c r="A6" s="3" t="str">
        <x:v>FacilityAdmin</x:v>
      </x:c>
      <x:c r="B6" s="3" t="str">
        <x:v>Operations Admin</x:v>
      </x:c>
      <x:c r="C6" s="26" t="n">
        <x:v>0.05</x:v>
      </x:c>
      <x:c r="D6" s="15" t="str">
        <x:v>Y</x:v>
      </x:c>
      <x:c r="E6"/>
      <x:c r="F6" s="16" t="n">
        <x:f>$C6*$G$2</x:f>
        <x:v>0.05</x:v>
      </x:c>
      <x:c r="G6" s="14"/>
    </x:row>
    <x:row r="7" ht="16" customHeight="1">
      <x:c r="A7" s="3" t="str">
        <x:v>MedDirector</x:v>
      </x:c>
      <x:c r="B7" s="3" t="str">
        <x:v>Executive Approver</x:v>
      </x:c>
      <x:c r="C7" s="26" t="n">
        <x:v>0.05</x:v>
      </x:c>
      <x:c r="D7" s="15" t="str">
        <x:v>Y</x:v>
      </x:c>
      <x:c r="E7"/>
      <x:c r="F7" s="16" t="n">
        <x:f>$C7*$G$2</x:f>
        <x:v>0.05</x:v>
      </x:c>
      <x:c r="G7" s="14"/>
    </x:row>
    <x:row r="8" ht="16" customHeight="1">
      <x:c r="A8" s="3" t="str">
        <x:v>ReadOnly</x:v>
      </x:c>
      <x:c r="B8" s="3" t="str">
        <x:v>Read-only viewer</x:v>
      </x:c>
      <x:c r="C8" s="26" t="n">
        <x:v>0</x:v>
      </x:c>
      <x:c r="D8" s="15" t="str">
        <x:v>N</x:v>
      </x:c>
      <x:c r="E8"/>
      <x:c r="F8" s="16" t="n">
        <x:f>$C8*$G$2</x:f>
        <x:v>0</x:v>
      </x:c>
      <x:c r="G8" s="14"/>
    </x:row>
    <x:row r="9">
      <x:c r="A9"/>
      <x:c r="B9"/>
      <x:c r="C9"/>
      <x:c r="D9"/>
      <x:c r="E9"/>
      <x:c r="F9"/>
      <x:c r="G9"/>
    </x:row>
    <x:row r="10">
      <x:c r="A10"/>
      <x:c r="B10"/>
      <x:c r="C10"/>
      <x:c r="D10"/>
      <x:c r="E10"/>
      <x:c r="F10"/>
      <x:c r="G10"/>
    </x:row>
    <x:row r="11" ht="22" customHeight="1">
      <x:c r="A11" s="2" t="str">
        <x:v>Bundle_ID</x:v>
      </x:c>
      <x:c r="B11" s="2" t="str">
        <x:v>Description</x:v>
      </x:c>
      <x:c r="C11" s="2" t="str">
        <x:v>Total Users</x:v>
      </x:c>
      <x:c r="D11" s="2" t="str">
        <x:v>Field Users</x:v>
      </x:c>
      <x:c r="E11" s="2" t="str">
        <x:v>Team Admins</x:v>
      </x:c>
      <x:c r="F11" s="2" t="str">
        <x:v>Operations Admins</x:v>
      </x:c>
      <x:c r="G11" s="2" t="str">
        <x:v>Med Directors</x:v>
      </x:c>
    </x:row>
    <x:row r="12" ht="32" customHeight="1">
      <x:c r="A12" s="3" t="str">
        <x:v>Entry_8</x:v>
      </x:c>
      <x:c r="B12" s="3" t="str">
        <x:v>Entry package (minimum): 1 MD + 1 FA + 6 Field Users</x:v>
      </x:c>
      <x:c r="C12" s="17" t="n">
        <x:v>8</x:v>
      </x:c>
      <x:c r="D12" s="15" t="n">
        <x:v>6</x:v>
      </x:c>
      <x:c r="E12" s="15" t="n">
        <x:v>0</x:v>
      </x:c>
      <x:c r="F12" s="15" t="n">
        <x:v>1</x:v>
      </x:c>
      <x:c r="G12" s="15" t="n">
        <x:v>1</x:v>
      </x:c>
    </x:row>
    <x:row r="13" ht="32" customHeight="1">
      <x:c r="A13" s="3" t="str">
        <x:v>Ambulance_Pack</x:v>
      </x:c>
      <x:c r="B13" s="3" t="str">
        <x:v>Field Team package: 6 Field Users (1 ambulance, 3 shifts × 2)</x:v>
      </x:c>
      <x:c r="C13" s="17" t="n">
        <x:v>6</x:v>
      </x:c>
      <x:c r="D13" s="15" t="n">
        <x:v>6</x:v>
      </x:c>
      <x:c r="E13" s="15" t="n">
        <x:v>0</x:v>
      </x:c>
      <x:c r="F13" s="15" t="n">
        <x:v>0</x:v>
      </x:c>
      <x:c r="G13" s="15" t="n">
        <x:v>0</x:v>
      </x:c>
    </x:row>
    <x:row r="14" ht="32" customHeight="1">
      <x:c r="A14" s="3" t="str">
        <x:v>Branch_Pack</x:v>
      </x:c>
      <x:c r="B14" s="3" t="str">
        <x:v>Team package: 1 Team Admin + 6 Field Users</x:v>
      </x:c>
      <x:c r="C14" s="17" t="n">
        <x:v>7</x:v>
      </x:c>
      <x:c r="D14" s="15" t="n">
        <x:v>6</x:v>
      </x:c>
      <x:c r="E14" s="15" t="n">
        <x:v>1</x:v>
      </x:c>
      <x:c r="F14" s="15" t="n">
        <x:v>0</x:v>
      </x:c>
      <x:c r="G14" s="15" t="n">
        <x:v>0</x:v>
      </x:c>
    </x:row>
    <x:row r="15">
      <x:c r="A15"/>
      <x:c r="B15"/>
      <x:c r="C15"/>
      <x:c r="D15"/>
      <x:c r="E15"/>
      <x:c r="F15"/>
      <x:c r="G15"/>
    </x:row>
    <x:row r="16">
      <x:c r="A16" s="18" t="str">
        <x:v>Notes:</x:v>
      </x:c>
      <x:c r="B16"/>
      <x:c r="C16"/>
      <x:c r="D16"/>
      <x:c r="E16"/>
      <x:c r="F16"/>
      <x:c r="G16"/>
    </x:row>
    <x:row r="17">
      <x:c r="A17" s="97" t="str">
        <x:v>Bundles are presets only; billing remains per-user. Use bundles to quickly build scenario role counts.</x:v>
      </x:c>
      <x:c r="B17" s="96"/>
      <x:c r="C17" s="96"/>
      <x:c r="D17" s="96"/>
      <x:c r="E17" s="96"/>
      <x:c r="F17" s="96"/>
      <x:c r="G17" s="96"/>
    </x:row>
  </x:sheetData>
  <x:mergeCells>
    <x:mergeCell ref="A1:G1"/>
    <x:mergeCell ref="A17:G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83203125" defaultRowHeight="14"/>
  <x:cols>
    <x:col min="1" max="1" width="13.33203125" style="19" customWidth="1"/>
    <x:col min="2" max="2" width="14.1640625" style="19" customWidth="1"/>
    <x:col min="3" max="3" width="11.83203125" style="19" customWidth="1"/>
    <x:col min="4" max="4" width="11.6640625" style="19" customWidth="1"/>
    <x:col min="5" max="5" width="17.6640625" style="19" customWidth="1"/>
    <x:col min="6" max="6" width="14" style="19" customWidth="1"/>
    <x:col min="7" max="8" width="16.83203125" style="19" customWidth="1"/>
    <x:col min="9" max="9" width="15.83203125" style="19" customWidth="1"/>
    <x:col min="10" max="10" width="12.1640625" style="19" customWidth="1"/>
    <x:col min="11" max="11" width="13.1640625" style="19" customWidth="1"/>
    <x:col min="12" max="12" width="12.33203125" style="19" customWidth="1"/>
    <x:col min="13" max="13" width="12.6640625" style="19" customWidth="1"/>
    <x:col min="14" max="14" width="27.1640625" style="19" customWidth="1"/>
    <x:col min="15" max="15" width="12.6640625" style="19" customWidth="1"/>
    <x:col min="16" max="16" width="21.5" style="19" customWidth="1"/>
    <x:col min="17" max="17" width="10.33203125" style="19" customWidth="1"/>
    <x:col min="18" max="18" width="15.1640625" style="19" customWidth="1"/>
    <x:col min="19" max="20" width="20.6640625" style="19" customWidth="1"/>
    <x:col min="21" max="22" width="8.83203125" style="19" customWidth="1"/>
    <x:col min="23" max="16384" width="8.83203125" style="19" customWidth="0"/>
  </x:cols>
  <x:sheetData>
    <x:row r="1" ht="19" customHeight="1">
      <x:c r="A1" s="100" t="str">
        <x:v>Customer Scenarios (Inputs)</x:v>
      </x:c>
      <x:c r="B1" s="99"/>
      <x:c r="C1" s="99"/>
      <x:c r="D1" s="99"/>
      <x:c r="E1" s="99"/>
      <x:c r="F1" s="99"/>
      <x:c r="G1" s="99"/>
      <x:c r="H1" s="99"/>
      <x:c r="I1" s="99"/>
      <x:c r="J1" s="99"/>
      <x:c r="K1" s="99"/>
      <x:c r="L1" s="99"/>
      <x:c r="M1" s="99"/>
      <x:c r="N1" s="99"/>
      <x:c r="O1" s="99"/>
      <x:c r="P1" s="99"/>
      <x:c r="Q1" s="99"/>
      <x:c r="R1" s="99"/>
      <x:c r="S1" s="99"/>
      <x:c r="T1" s="99"/>
    </x:row>
    <x:row r="2">
      <x:c r="A2" s="98" t="str">
        <x:v>Edit blue cells only. Scenario ID column is fixed.</x:v>
      </x:c>
      <x:c r="B2" s="99"/>
      <x:c r="C2" s="99"/>
      <x:c r="D2" s="99"/>
      <x:c r="E2" s="99"/>
      <x:c r="F2" s="99"/>
      <x:c r="G2" s="99"/>
      <x:c r="H2" s="99"/>
      <x:c r="I2" s="99"/>
      <x:c r="J2" s="99"/>
      <x:c r="K2" s="99"/>
      <x:c r="L2" s="99"/>
      <x:c r="M2" s="99"/>
      <x:c r="N2" s="99"/>
      <x:c r="O2" s="99"/>
      <x:c r="P2" s="99"/>
      <x:c r="Q2" s="99"/>
      <x:c r="R2" s="99"/>
      <x:c r="S2" s="99"/>
      <x:c r="T2" s="99"/>
    </x:row>
    <x:row r="3" ht="22" customHeight="1">
      <x:c r="A3" s="20" t="str">
        <x:v>Scenario ID</x:v>
      </x:c>
      <x:c r="B3" s="20" t="str">
        <x:v>Scenario Type</x:v>
      </x:c>
      <x:c r="C3" s="20" t="str">
        <x:v>Total Users</x:v>
      </x:c>
      <x:c r="D3" s="20" t="str">
        <x:v>Term Years</x:v>
      </x:c>
      <x:c r="E3" s="20" t="str">
        <x:v>Early Adopter Flag</x:v>
      </x:c>
      <x:c r="F3" s="20" t="str">
        <x:v>Field Users</x:v>
      </x:c>
      <x:c r="G3" s="20" t="str">
        <x:v>Team Admins</x:v>
      </x:c>
      <x:c r="H3" s="20" t="str">
        <x:v>Operations Admins</x:v>
      </x:c>
      <x:c r="I3" s="20" t="str">
        <x:v>Med Directors</x:v>
      </x:c>
      <x:c r="J3" s="20" t="str">
        <x:v>Read Only</x:v>
      </x:c>
      <x:c r="K3" s="20" t="str">
        <x:v>Advanced Users</x:v>
      </x:c>
      <x:c r="L3" s="20" t="str">
        <x:v>Premium Users</x:v>
      </x:c>
      <x:c r="M3" s="20" t="str">
        <x:v>Support Tier</x:v>
      </x:c>
      <x:c r="N3" s="57" t="str">
        <x:v>Storage Tier (workshop item)</x:v>
      </x:c>
      <x:c r="O3" s="20" t="str">
        <x:v>Prem Tier</x:v>
      </x:c>
      <x:c r="P3" s="20" t="str">
        <x:v>Custom Branding Flag</x:v>
      </x:c>
      <x:c r="Q3" s="20" t="str">
        <x:v>API Mode</x:v>
      </x:c>
      <x:c r="R3" s="55" t="str">
        <x:v>Onsite Impl Tier</x:v>
      </x:c>
      <x:c r="S3" s="20" t="str">
        <x:v>Include In Breakeven</x:v>
      </x:c>
      <x:c r="T3" s="20" t="str">
        <x:v>Include In Sensitivity</x:v>
      </x:c>
    </x:row>
    <x:row r="4" ht="16" customHeight="1">
      <x:c r="A4" s="21" t="str">
        <x:v>Entry_8</x:v>
      </x:c>
      <x:c r="B4" s="22" t="str">
        <x:v>Entry</x:v>
      </x:c>
      <x:c r="C4" s="23" t="n">
        <x:v>8</x:v>
      </x:c>
      <x:c r="D4" s="24" t="n">
        <x:v>1</x:v>
      </x:c>
      <x:c r="E4" s="22" t="str">
        <x:v>N</x:v>
      </x:c>
      <x:c r="F4" s="23" t="n">
        <x:v>6</x:v>
      </x:c>
      <x:c r="G4" s="23" t="n">
        <x:v>0</x:v>
      </x:c>
      <x:c r="H4" s="23" t="n">
        <x:v>1</x:v>
      </x:c>
      <x:c r="I4" s="23" t="n">
        <x:v>1</x:v>
      </x:c>
      <x:c r="J4" s="23" t="n">
        <x:v>0</x:v>
      </x:c>
      <x:c r="K4" s="23" t="n">
        <x:v>0</x:v>
      </x:c>
      <x:c r="L4" s="23" t="n">
        <x:v>0</x:v>
      </x:c>
      <x:c r="M4" s="22" t="str">
        <x:v>Standard</x:v>
      </x:c>
      <x:c r="N4" s="58" t="str">
        <x:v>None</x:v>
      </x:c>
      <x:c r="O4" s="22" t="str">
        <x:v>None</x:v>
      </x:c>
      <x:c r="P4" s="22" t="str">
        <x:v>N</x:v>
      </x:c>
      <x:c r="Q4" s="22" t="str">
        <x:v>None</x:v>
      </x:c>
      <x:c r="R4" s="56" t="str">
        <x:v>None</x:v>
      </x:c>
      <x:c r="S4" s="22" t="str">
        <x:v>Y</x:v>
      </x:c>
      <x:c r="T4" s="22" t="str">
        <x:v>N</x:v>
      </x:c>
    </x:row>
    <x:row r="5" ht="16" customHeight="1">
      <x:c r="A5" s="21" t="str">
        <x:v>Small_15_Core</x:v>
      </x:c>
      <x:c r="B5" s="22" t="str">
        <x:v>Small</x:v>
      </x:c>
      <x:c r="C5" s="23" t="n">
        <x:v>14</x:v>
      </x:c>
      <x:c r="D5" s="24" t="n">
        <x:v>1</x:v>
      </x:c>
      <x:c r="E5" s="22" t="str">
        <x:v>Y</x:v>
      </x:c>
      <x:c r="F5" s="23" t="n">
        <x:v>11</x:v>
      </x:c>
      <x:c r="G5" s="23" t="n">
        <x:v>1</x:v>
      </x:c>
      <x:c r="H5" s="23" t="n">
        <x:v>1</x:v>
      </x:c>
      <x:c r="I5" s="23" t="n">
        <x:v>1</x:v>
      </x:c>
      <x:c r="J5" s="23" t="n">
        <x:v>0</x:v>
      </x:c>
      <x:c r="K5" s="23" t="n">
        <x:v>0</x:v>
      </x:c>
      <x:c r="L5" s="23" t="n">
        <x:v>0</x:v>
      </x:c>
      <x:c r="M5" s="22" t="str">
        <x:v>Standard</x:v>
      </x:c>
      <x:c r="N5" s="58" t="str">
        <x:v>None</x:v>
      </x:c>
      <x:c r="O5" s="22" t="str">
        <x:v>None</x:v>
      </x:c>
      <x:c r="P5" s="22" t="str">
        <x:v>N</x:v>
      </x:c>
      <x:c r="Q5" s="22" t="str">
        <x:v>None</x:v>
      </x:c>
      <x:c r="R5" s="56" t="str">
        <x:v>None</x:v>
      </x:c>
      <x:c r="S5" s="22" t="str">
        <x:v>Y</x:v>
      </x:c>
      <x:c r="T5" s="22" t="str">
        <x:v>N</x:v>
      </x:c>
    </x:row>
    <x:row r="6" ht="16" customHeight="1">
      <x:c r="A6" s="21" t="str">
        <x:v>Small_15_Advanced</x:v>
      </x:c>
      <x:c r="B6" s="22" t="str">
        <x:v>Small</x:v>
      </x:c>
      <x:c r="C6" s="23" t="n">
        <x:v>14</x:v>
      </x:c>
      <x:c r="D6" s="24" t="n">
        <x:v>1</x:v>
      </x:c>
      <x:c r="E6" s="22" t="str">
        <x:v>Y</x:v>
      </x:c>
      <x:c r="F6" s="23" t="n">
        <x:v>11</x:v>
      </x:c>
      <x:c r="G6" s="23" t="n">
        <x:v>1</x:v>
      </x:c>
      <x:c r="H6" s="23" t="n">
        <x:v>1</x:v>
      </x:c>
      <x:c r="I6" s="23" t="n">
        <x:v>1</x:v>
      </x:c>
      <x:c r="J6" s="23" t="n">
        <x:v>0</x:v>
      </x:c>
      <x:c r="K6" s="23" t="n">
        <x:v>6</x:v>
      </x:c>
      <x:c r="L6" s="23" t="n">
        <x:v>0</x:v>
      </x:c>
      <x:c r="M6" s="22" t="str">
        <x:v>Standard</x:v>
      </x:c>
      <x:c r="N6" s="58" t="str">
        <x:v>None</x:v>
      </x:c>
      <x:c r="O6" s="22" t="str">
        <x:v>None</x:v>
      </x:c>
      <x:c r="P6" s="22" t="str">
        <x:v>N</x:v>
      </x:c>
      <x:c r="Q6" s="22" t="str">
        <x:v>None</x:v>
      </x:c>
      <x:c r="R6" s="56" t="str">
        <x:v>None</x:v>
      </x:c>
      <x:c r="S6" s="22" t="str">
        <x:v>Y</x:v>
      </x:c>
      <x:c r="T6" s="22" t="str">
        <x:v>N</x:v>
      </x:c>
    </x:row>
    <x:row r="7" ht="16" customHeight="1">
      <x:c r="A7" s="21" t="str">
        <x:v>Small_15_Premium</x:v>
      </x:c>
      <x:c r="B7" s="22" t="str">
        <x:v>Small</x:v>
      </x:c>
      <x:c r="C7" s="23" t="n">
        <x:v>14</x:v>
      </x:c>
      <x:c r="D7" s="24" t="n">
        <x:v>1</x:v>
      </x:c>
      <x:c r="E7" s="22" t="str">
        <x:v>Y</x:v>
      </x:c>
      <x:c r="F7" s="23" t="n">
        <x:v>11</x:v>
      </x:c>
      <x:c r="G7" s="23" t="n">
        <x:v>1</x:v>
      </x:c>
      <x:c r="H7" s="23" t="n">
        <x:v>1</x:v>
      </x:c>
      <x:c r="I7" s="23" t="n">
        <x:v>1</x:v>
      </x:c>
      <x:c r="J7" s="23" t="n">
        <x:v>0</x:v>
      </x:c>
      <x:c r="K7" s="23" t="n">
        <x:v>6</x:v>
      </x:c>
      <x:c r="L7" s="23" t="n">
        <x:v>2</x:v>
      </x:c>
      <x:c r="M7" s="22" t="str">
        <x:v>24_7</x:v>
      </x:c>
      <x:c r="N7" s="58" t="str">
        <x:v>None</x:v>
      </x:c>
      <x:c r="O7" s="22" t="str">
        <x:v>None</x:v>
      </x:c>
      <x:c r="P7" s="22" t="str">
        <x:v>N</x:v>
      </x:c>
      <x:c r="Q7" s="22" t="str">
        <x:v>None</x:v>
      </x:c>
      <x:c r="R7" s="56" t="str">
        <x:v>None</x:v>
      </x:c>
      <x:c r="S7" s="22" t="str">
        <x:v>Y</x:v>
      </x:c>
      <x:c r="T7" s="22" t="str">
        <x:v>N</x:v>
      </x:c>
    </x:row>
    <x:row r="8" ht="16" customHeight="1">
      <x:c r="A8" s="21" t="str">
        <x:v>Typical_30</x:v>
      </x:c>
      <x:c r="B8" s="22" t="str">
        <x:v>Typical</x:v>
      </x:c>
      <x:c r="C8" s="23" t="n">
        <x:v>27</x:v>
      </x:c>
      <x:c r="D8" s="24" t="n">
        <x:v>1</x:v>
      </x:c>
      <x:c r="E8" s="22" t="str">
        <x:v>N</x:v>
      </x:c>
      <x:c r="F8" s="23" t="n">
        <x:v>22</x:v>
      </x:c>
      <x:c r="G8" s="23" t="n">
        <x:v>3</x:v>
      </x:c>
      <x:c r="H8" s="23" t="n">
        <x:v>2</x:v>
      </x:c>
      <x:c r="I8" s="23" t="n">
        <x:v>1</x:v>
      </x:c>
      <x:c r="J8" s="23" t="n">
        <x:v>0</x:v>
      </x:c>
      <x:c r="K8" s="23" t="n">
        <x:v>9</x:v>
      </x:c>
      <x:c r="L8" s="23" t="n">
        <x:v>0</x:v>
      </x:c>
      <x:c r="M8" s="22" t="str">
        <x:v>Standard</x:v>
      </x:c>
      <x:c r="N8" s="58" t="str">
        <x:v>None</x:v>
      </x:c>
      <x:c r="O8" s="22" t="str">
        <x:v>None</x:v>
      </x:c>
      <x:c r="P8" s="22" t="str">
        <x:v>N</x:v>
      </x:c>
      <x:c r="Q8" s="22" t="str">
        <x:v>Read</x:v>
      </x:c>
      <x:c r="R8" s="56" t="str">
        <x:v>Standard</x:v>
      </x:c>
      <x:c r="S8" s="22" t="str">
        <x:v>Y</x:v>
      </x:c>
      <x:c r="T8" s="22" t="str">
        <x:v>N</x:v>
      </x:c>
    </x:row>
    <x:row r="9" ht="16" customHeight="1">
      <x:c r="A9" s="21" t="str">
        <x:v>Large_50_Core</x:v>
      </x:c>
      <x:c r="B9" s="22" t="str">
        <x:v>Large</x:v>
      </x:c>
      <x:c r="C9" s="23" t="n">
        <x:v>45</x:v>
      </x:c>
      <x:c r="D9" s="24" t="n">
        <x:v>2</x:v>
      </x:c>
      <x:c r="E9" s="22" t="str">
        <x:v>N</x:v>
      </x:c>
      <x:c r="F9" s="23" t="n">
        <x:v>36</x:v>
      </x:c>
      <x:c r="G9" s="23" t="n">
        <x:v>5</x:v>
      </x:c>
      <x:c r="H9" s="23" t="n">
        <x:v>3</x:v>
      </x:c>
      <x:c r="I9" s="23" t="n">
        <x:v>2</x:v>
      </x:c>
      <x:c r="J9" s="23" t="n">
        <x:v>0</x:v>
      </x:c>
      <x:c r="K9" s="23" t="n">
        <x:v>0</x:v>
      </x:c>
      <x:c r="L9" s="23" t="n">
        <x:v>0</x:v>
      </x:c>
      <x:c r="M9" s="22" t="str">
        <x:v>24_7</x:v>
      </x:c>
      <x:c r="N9" s="58" t="str">
        <x:v>None</x:v>
      </x:c>
      <x:c r="O9" s="22" t="str">
        <x:v>None</x:v>
      </x:c>
      <x:c r="P9" s="22" t="str">
        <x:v>Y</x:v>
      </x:c>
      <x:c r="Q9" s="22" t="str">
        <x:v>Read</x:v>
      </x:c>
      <x:c r="R9" s="56" t="str">
        <x:v>Standard</x:v>
      </x:c>
      <x:c r="S9" s="22" t="str">
        <x:v>Y</x:v>
      </x:c>
      <x:c r="T9" s="22" t="str">
        <x:v>N</x:v>
      </x:c>
    </x:row>
    <x:row r="10" ht="16" customHeight="1">
      <x:c r="A10" s="21" t="str">
        <x:v>Large_50_Advanced</x:v>
      </x:c>
      <x:c r="B10" s="22" t="str">
        <x:v>Large</x:v>
      </x:c>
      <x:c r="C10" s="23" t="n">
        <x:v>45</x:v>
      </x:c>
      <x:c r="D10" s="24" t="n">
        <x:v>2</x:v>
      </x:c>
      <x:c r="E10" s="22" t="str">
        <x:v>N</x:v>
      </x:c>
      <x:c r="F10" s="23" t="n">
        <x:v>36</x:v>
      </x:c>
      <x:c r="G10" s="23" t="n">
        <x:v>5</x:v>
      </x:c>
      <x:c r="H10" s="23" t="n">
        <x:v>3</x:v>
      </x:c>
      <x:c r="I10" s="23" t="n">
        <x:v>2</x:v>
      </x:c>
      <x:c r="J10" s="23" t="n">
        <x:v>0</x:v>
      </x:c>
      <x:c r="K10" s="23" t="n">
        <x:v>18</x:v>
      </x:c>
      <x:c r="L10" s="23" t="n">
        <x:v>0</x:v>
      </x:c>
      <x:c r="M10" s="22" t="str">
        <x:v>24_7</x:v>
      </x:c>
      <x:c r="N10" s="58" t="str">
        <x:v>None</x:v>
      </x:c>
      <x:c r="O10" s="22" t="str">
        <x:v>None</x:v>
      </x:c>
      <x:c r="P10" s="22" t="str">
        <x:v>Y</x:v>
      </x:c>
      <x:c r="Q10" s="22" t="str">
        <x:v>ReadWrite</x:v>
      </x:c>
      <x:c r="R10" s="56" t="str">
        <x:v>Standard</x:v>
      </x:c>
      <x:c r="S10" s="22" t="str">
        <x:v>Y</x:v>
      </x:c>
      <x:c r="T10" s="22" t="str">
        <x:v>N</x:v>
      </x:c>
    </x:row>
    <x:row r="11" ht="16" customHeight="1">
      <x:c r="A11" s="21" t="str">
        <x:v>Large_50_Premium</x:v>
      </x:c>
      <x:c r="B11" s="22" t="str">
        <x:v>Large</x:v>
      </x:c>
      <x:c r="C11" s="23" t="n">
        <x:v>45</x:v>
      </x:c>
      <x:c r="D11" s="24" t="n">
        <x:v>3</x:v>
      </x:c>
      <x:c r="E11" s="22" t="str">
        <x:v>N</x:v>
      </x:c>
      <x:c r="F11" s="23" t="n">
        <x:v>36</x:v>
      </x:c>
      <x:c r="G11" s="23" t="n">
        <x:v>5</x:v>
      </x:c>
      <x:c r="H11" s="23" t="n">
        <x:v>3</x:v>
      </x:c>
      <x:c r="I11" s="23" t="n">
        <x:v>2</x:v>
      </x:c>
      <x:c r="J11" s="23" t="n">
        <x:v>0</x:v>
      </x:c>
      <x:c r="K11" s="23" t="n">
        <x:v>18</x:v>
      </x:c>
      <x:c r="L11" s="23" t="n">
        <x:v>5</x:v>
      </x:c>
      <x:c r="M11" s="22" t="str">
        <x:v>24_7</x:v>
      </x:c>
      <x:c r="N11" s="58" t="str">
        <x:v>None</x:v>
      </x:c>
      <x:c r="O11" s="22" t="str">
        <x:v>Large</x:v>
      </x:c>
      <x:c r="P11" s="22" t="str">
        <x:v>Y</x:v>
      </x:c>
      <x:c r="Q11" s="22" t="str">
        <x:v>ReadWrite</x:v>
      </x:c>
      <x:c r="R11" s="56" t="str">
        <x:v>Enterprise</x:v>
      </x:c>
      <x:c r="S11" s="22" t="str">
        <x:v>Y</x:v>
      </x:c>
      <x:c r="T11" s="22" t="str">
        <x:v>N</x:v>
      </x:c>
    </x:row>
    <x:row r="12" ht="16" customHeight="1">
      <x:c r="A12" s="21" t="str">
        <x:v>Sens_10</x:v>
      </x:c>
      <x:c r="B12" s="22" t="str">
        <x:v>Sensitivity</x:v>
      </x:c>
      <x:c r="C12" s="24" t="n">
        <x:v>9</x:v>
      </x:c>
      <x:c r="D12" s="24" t="n">
        <x:v>1</x:v>
      </x:c>
      <x:c r="E12" s="24" t="str">
        <x:v>N</x:v>
      </x:c>
      <x:c r="F12" s="24" t="n">
        <x:f>C12-SUM(G12:J12)</x:f>
        <x:v>8</x:v>
      </x:c>
      <x:c r="G12" s="24" t="n">
        <x:f>ROUND($C12*Roles_Bundles!$F$5,0)</x:f>
        <x:v>1</x:v>
      </x:c>
      <x:c r="H12" s="24" t="n">
        <x:f>ROUND($C12*Roles_Bundles!$F$6,0)</x:f>
        <x:v>0</x:v>
      </x:c>
      <x:c r="I12" s="24" t="n">
        <x:f>ROUND($C12*Roles_Bundles!$F$8,0)</x:f>
        <x:v>0</x:v>
      </x:c>
      <x:c r="J12" s="24" t="n">
        <x:v>0</x:v>
      </x:c>
      <x:c r="K12" s="24" t="n">
        <x:v>0</x:v>
      </x:c>
      <x:c r="L12" s="24" t="n">
        <x:v>0</x:v>
      </x:c>
      <x:c r="M12" s="22" t="str">
        <x:v>Standard</x:v>
      </x:c>
      <x:c r="N12" s="58" t="str">
        <x:v>None</x:v>
      </x:c>
      <x:c r="O12" s="22" t="str">
        <x:v>None</x:v>
      </x:c>
      <x:c r="P12" s="22" t="str">
        <x:v>N</x:v>
      </x:c>
      <x:c r="Q12" s="22" t="str">
        <x:v>None</x:v>
      </x:c>
      <x:c r="R12" s="56" t="str">
        <x:v>None</x:v>
      </x:c>
      <x:c r="S12" s="22" t="str">
        <x:v>N</x:v>
      </x:c>
      <x:c r="T12" s="22" t="str">
        <x:v>Y</x:v>
      </x:c>
    </x:row>
    <x:row r="13" ht="16" customHeight="1">
      <x:c r="A13" s="21" t="str">
        <x:v>Sens_30</x:v>
      </x:c>
      <x:c r="B13" s="22" t="str">
        <x:v>Sensitivity</x:v>
      </x:c>
      <x:c r="C13" s="24" t="n">
        <x:v>27</x:v>
      </x:c>
      <x:c r="D13" s="24" t="n">
        <x:v>1</x:v>
      </x:c>
      <x:c r="E13" s="24" t="str">
        <x:v>N</x:v>
      </x:c>
      <x:c r="F13" s="24" t="n">
        <x:f>C13-SUM(G13:J13)</x:f>
        <x:v>23</x:v>
      </x:c>
      <x:c r="G13" s="24" t="n">
        <x:f>ROUND($C13*Roles_Bundles!$F$5,0)</x:f>
        <x:v>3</x:v>
      </x:c>
      <x:c r="H13" s="24" t="n">
        <x:f>ROUND($C13*Roles_Bundles!$F$6,0)</x:f>
        <x:v>1</x:v>
      </x:c>
      <x:c r="I13" s="24" t="n">
        <x:f>ROUND($C13*Roles_Bundles!$F$8,0)</x:f>
        <x:v>0</x:v>
      </x:c>
      <x:c r="J13" s="24" t="n">
        <x:v>0</x:v>
      </x:c>
      <x:c r="K13" s="24" t="n">
        <x:v>0</x:v>
      </x:c>
      <x:c r="L13" s="24" t="n">
        <x:v>0</x:v>
      </x:c>
      <x:c r="M13" s="22" t="str">
        <x:v>Standard</x:v>
      </x:c>
      <x:c r="N13" s="58" t="str">
        <x:v>None</x:v>
      </x:c>
      <x:c r="O13" s="22" t="str">
        <x:v>None</x:v>
      </x:c>
      <x:c r="P13" s="22" t="str">
        <x:v>N</x:v>
      </x:c>
      <x:c r="Q13" s="22" t="str">
        <x:v>None</x:v>
      </x:c>
      <x:c r="R13" s="56" t="str">
        <x:v>None</x:v>
      </x:c>
      <x:c r="S13" s="22" t="str">
        <x:v>N</x:v>
      </x:c>
      <x:c r="T13" s="22" t="str">
        <x:v>Y</x:v>
      </x:c>
    </x:row>
    <x:row r="14" ht="16" customHeight="1">
      <x:c r="A14" s="21" t="str">
        <x:v>Sens_50</x:v>
      </x:c>
      <x:c r="B14" s="22" t="str">
        <x:v>Sensitivity</x:v>
      </x:c>
      <x:c r="C14" s="24" t="n">
        <x:v>45</x:v>
      </x:c>
      <x:c r="D14" s="24" t="n">
        <x:v>1</x:v>
      </x:c>
      <x:c r="E14" s="24" t="str">
        <x:v>N</x:v>
      </x:c>
      <x:c r="F14" s="24" t="n">
        <x:f>C14-SUM(G14:J14)</x:f>
        <x:v>38</x:v>
      </x:c>
      <x:c r="G14" s="24" t="n">
        <x:f>ROUND($C14*Roles_Bundles!$F$5,0)</x:f>
        <x:v>5</x:v>
      </x:c>
      <x:c r="H14" s="24" t="n">
        <x:f>ROUND($C14*Roles_Bundles!$F$6,0)</x:f>
        <x:v>2</x:v>
      </x:c>
      <x:c r="I14" s="24" t="n">
        <x:f>ROUND($C14*Roles_Bundles!$F$8,0)</x:f>
        <x:v>0</x:v>
      </x:c>
      <x:c r="J14" s="24" t="n">
        <x:v>0</x:v>
      </x:c>
      <x:c r="K14" s="24" t="n">
        <x:v>0</x:v>
      </x:c>
      <x:c r="L14" s="24" t="n">
        <x:v>0</x:v>
      </x:c>
      <x:c r="M14" s="22" t="str">
        <x:v>Standard</x:v>
      </x:c>
      <x:c r="N14" s="58" t="str">
        <x:v>None</x:v>
      </x:c>
      <x:c r="O14" s="22" t="str">
        <x:v>None</x:v>
      </x:c>
      <x:c r="P14" s="22" t="str">
        <x:v>N</x:v>
      </x:c>
      <x:c r="Q14" s="22" t="str">
        <x:v>None</x:v>
      </x:c>
      <x:c r="R14" s="56" t="str">
        <x:v>None</x:v>
      </x:c>
      <x:c r="S14" s="22" t="str">
        <x:v>N</x:v>
      </x:c>
      <x:c r="T14" s="22" t="str">
        <x:v>Y</x:v>
      </x:c>
    </x:row>
    <x:row r="15" ht="16" customHeight="1">
      <x:c r="A15" s="21" t="str">
        <x:v>Sens_100</x:v>
      </x:c>
      <x:c r="B15" s="22" t="str">
        <x:v>Sensitivity</x:v>
      </x:c>
      <x:c r="C15" s="24" t="n">
        <x:v>90</x:v>
      </x:c>
      <x:c r="D15" s="24" t="n">
        <x:v>1</x:v>
      </x:c>
      <x:c r="E15" s="24" t="str">
        <x:v>N</x:v>
      </x:c>
      <x:c r="F15" s="24" t="n">
        <x:f>C15-SUM(G15:J15)</x:f>
        <x:v>76</x:v>
      </x:c>
      <x:c r="G15" s="24" t="n">
        <x:f>ROUND($C15*Roles_Bundles!$F$5,0)</x:f>
        <x:v>9</x:v>
      </x:c>
      <x:c r="H15" s="24" t="n">
        <x:f>ROUND($C15*Roles_Bundles!$F$6,0)</x:f>
        <x:v>5</x:v>
      </x:c>
      <x:c r="I15" s="24" t="n">
        <x:f>ROUND($C15*Roles_Bundles!$F$8,0)</x:f>
        <x:v>0</x:v>
      </x:c>
      <x:c r="J15" s="24" t="n">
        <x:v>0</x:v>
      </x:c>
      <x:c r="K15" s="24" t="n">
        <x:v>0</x:v>
      </x:c>
      <x:c r="L15" s="24" t="n">
        <x:v>0</x:v>
      </x:c>
      <x:c r="M15" s="22" t="str">
        <x:v>Standard</x:v>
      </x:c>
      <x:c r="N15" s="58" t="str">
        <x:v>None</x:v>
      </x:c>
      <x:c r="O15" s="22" t="str">
        <x:v>None</x:v>
      </x:c>
      <x:c r="P15" s="22" t="str">
        <x:v>N</x:v>
      </x:c>
      <x:c r="Q15" s="22" t="str">
        <x:v>None</x:v>
      </x:c>
      <x:c r="R15" s="56" t="str">
        <x:v>None</x:v>
      </x:c>
      <x:c r="S15" s="22" t="str">
        <x:v>N</x:v>
      </x:c>
      <x:c r="T15" s="22" t="str">
        <x:v>Y</x:v>
      </x:c>
    </x:row>
    <x:row r="16" ht="16" customHeight="1">
      <x:c r="A16" s="21" t="str">
        <x:v>Sens_200</x:v>
      </x:c>
      <x:c r="B16" s="22" t="str">
        <x:v>Sensitivity</x:v>
      </x:c>
      <x:c r="C16" s="24" t="n">
        <x:v>180</x:v>
      </x:c>
      <x:c r="D16" s="24" t="n">
        <x:v>1</x:v>
      </x:c>
      <x:c r="E16" s="24" t="str">
        <x:v>N</x:v>
      </x:c>
      <x:c r="F16" s="24" t="n">
        <x:f>C16-SUM(G16:J16)</x:f>
        <x:v>153</x:v>
      </x:c>
      <x:c r="G16" s="24" t="n">
        <x:f>ROUND($C16*Roles_Bundles!$F$5,0)</x:f>
        <x:v>18</x:v>
      </x:c>
      <x:c r="H16" s="24" t="n">
        <x:f>ROUND($C16*Roles_Bundles!$F$6,0)</x:f>
        <x:v>9</x:v>
      </x:c>
      <x:c r="I16" s="24" t="n">
        <x:f>ROUND($C16*Roles_Bundles!$F$8,0)</x:f>
        <x:v>0</x:v>
      </x:c>
      <x:c r="J16" s="24" t="n">
        <x:v>0</x:v>
      </x:c>
      <x:c r="K16" s="24" t="n">
        <x:v>0</x:v>
      </x:c>
      <x:c r="L16" s="24" t="n">
        <x:v>0</x:v>
      </x:c>
      <x:c r="M16" s="22" t="str">
        <x:v>Standard</x:v>
      </x:c>
      <x:c r="N16" s="58" t="str">
        <x:v>None</x:v>
      </x:c>
      <x:c r="O16" s="22" t="str">
        <x:v>None</x:v>
      </x:c>
      <x:c r="P16" s="22" t="str">
        <x:v>N</x:v>
      </x:c>
      <x:c r="Q16" s="22" t="str">
        <x:v>None</x:v>
      </x:c>
      <x:c r="R16" s="56" t="str">
        <x:v>None</x:v>
      </x:c>
      <x:c r="S16" s="22" t="str">
        <x:v>N</x:v>
      </x:c>
      <x:c r="T16" s="22" t="str">
        <x:v>Y</x:v>
      </x:c>
    </x:row>
  </x:sheetData>
  <x:mergeCells>
    <x:mergeCell ref="A2:T2"/>
    <x:mergeCell ref="A1:T1"/>
  </x:mergeCells>
  <x:dataValidations count="14">
    <x:dataValidation type="list" sqref="B4:B16">
      <x:formula1>"Entry,Small,Typical,Large,Sensitivity"</x:formula1>
    </x:dataValidation>
    <x:dataValidation type="list" sqref="E4:E16 P4:P16 S4:T16">
      <x:formula1>"Y,N"</x:formula1>
    </x:dataValidation>
    <x:dataValidation type="list" sqref="M4:M16">
      <x:formula1>"Standard,24_7"</x:formula1>
    </x:dataValidation>
    <x:dataValidation type="list" sqref="N4:N16">
      <x:formula1>"None, Base,Tier1"</x:formula1>
    </x:dataValidation>
    <x:dataValidation type="list" sqref="O4:O16">
      <x:formula1>"None,Small,Mid,Large"</x:formula1>
    </x:dataValidation>
    <x:dataValidation type="list" sqref="Q4:Q16">
      <x:formula1>"None,Read,ReadWrite"</x:formula1>
    </x:dataValidation>
    <x:dataValidation type="whole" sqref="D4:D16">
      <x:formula1>1</x:formula1>
      <x:formula2>3</x:formula2>
    </x:dataValidation>
    <x:dataValidation type="list" allowBlank="1" showDropDown="1" sqref="D4:D16">
      <x:formula1>"1,2,3"</x:formula1>
    </x:dataValidation>
    <x:dataValidation type="list" allowBlank="1" showDropDown="1" sqref="E4:E16 P4:P16 S4:T16">
      <x:formula1>"Y,N"</x:formula1>
    </x:dataValidation>
    <x:dataValidation type="list" allowBlank="1" showDropDown="1" sqref="M4:M16">
      <x:formula1>"Standard,24_7"</x:formula1>
    </x:dataValidation>
    <x:dataValidation type="list" allowBlank="1" showDropDown="1" sqref="N4:N16">
      <x:formula1>"Base,Tier1"</x:formula1>
    </x:dataValidation>
    <x:dataValidation type="list" allowBlank="1" showDropDown="1" sqref="O4:O16">
      <x:formula1>"None,Small,Mid,Large"</x:formula1>
    </x:dataValidation>
    <x:dataValidation type="list" allowBlank="1" showDropDown="1" sqref="Q4:Q16">
      <x:formula1>"None,Read,ReadWrite"</x:formula1>
    </x:dataValidation>
    <x:dataValidation type="list" allowBlank="1" showInputMessage="1" showErrorMessage="1" sqref="R4:R16">
      <x:formula1>"None, Standard, Enterprise"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83203125" defaultRowHeight="15"/>
  <x:cols>
    <x:col min="1" max="1" width="13.6640625" style="1" customWidth="1"/>
    <x:col min="2" max="2" width="11.33203125" style="1" customWidth="1"/>
    <x:col min="3" max="3" width="11.1640625" style="1" customWidth="1"/>
    <x:col min="4" max="4" width="12.83203125" style="1" customWidth="1"/>
    <x:col min="5" max="5" width="16.83203125" style="1" customWidth="1"/>
    <x:col min="6" max="6" width="11.1640625" style="1" customWidth="1"/>
    <x:col min="7" max="7" width="10" style="1" customWidth="1"/>
    <x:col min="8" max="8" width="14.6640625" style="1" customWidth="1"/>
    <x:col min="9" max="9" width="30.83203125" style="1" customWidth="1"/>
    <x:col min="10" max="10" width="17.6640625" style="1" customWidth="1"/>
    <x:col min="11" max="11" width="15.83203125" style="1" customWidth="1"/>
    <x:col min="12" max="12" width="10.5" style="1" customWidth="1"/>
    <x:col min="13" max="13" width="20.5" style="1" customWidth="1"/>
    <x:col min="14" max="14" width="31.6640625" style="1" customWidth="1"/>
    <x:col min="15" max="15" width="31.33203125" style="1" customWidth="1"/>
    <x:col min="16" max="16" width="23.1640625" style="1" customWidth="1"/>
    <x:col min="17" max="17" width="17.1640625" style="1" customWidth="1"/>
    <x:col min="18" max="18" width="16.1640625" style="1" customWidth="1"/>
    <x:col min="19" max="19" width="11.83203125" style="1" customWidth="1"/>
    <x:col min="20" max="20" width="15.83203125" style="1" customWidth="1"/>
    <x:col min="21" max="21" width="11.83203125" style="1" customWidth="1"/>
    <x:col min="22" max="22" width="11.5" style="1" customWidth="1"/>
    <x:col min="23" max="23" width="16.5" style="1" customWidth="1"/>
    <x:col min="24" max="25" width="9.5" style="1" customWidth="1"/>
    <x:col min="26" max="26" width="16.5" style="1" customWidth="1"/>
    <x:col min="27" max="27" width="7.83203125" style="1" customWidth="1"/>
    <x:col min="28" max="28" width="17" style="1" customWidth="1"/>
    <x:col min="29" max="29" width="7.83203125" style="1" customWidth="1"/>
    <x:col min="30" max="32" width="12.5" style="1" customWidth="1"/>
    <x:col min="33" max="33" width="14" style="1" customWidth="1"/>
    <x:col min="34" max="35" width="8.83203125" style="1" customWidth="1"/>
    <x:col min="36" max="16384" width="8.83203125" style="1" customWidth="0"/>
  </x:cols>
  <x:sheetData>
    <x:row r="1" ht="19" customHeight="1">
      <x:c r="A1" s="95" t="str">
        <x:v>Pricing Model (Calculated)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  <x:c r="V1" s="96"/>
      <x:c r="W1" s="96"/>
      <x:c r="X1" s="96"/>
      <x:c r="Y1" s="96"/>
      <x:c r="Z1" s="96"/>
      <x:c r="AA1" s="96"/>
      <x:c r="AB1" s="96"/>
      <x:c r="AC1" s="96"/>
      <x:c r="AD1" s="96"/>
      <x:c r="AE1" s="96"/>
      <x:c r="AF1" s="96"/>
      <x:c r="AG1" s="96"/>
    </x:row>
    <x:row r="2">
      <x:c r="A2" s="97" t="str">
        <x:v>All values are net USD unless stated otherwise. Discounts apply to recurring components only; one-time fees are not discounted.</x:v>
      </x:c>
      <x:c r="B2" s="96"/>
      <x:c r="C2" s="96"/>
      <x:c r="D2" s="96"/>
      <x:c r="E2" s="96"/>
      <x:c r="F2" s="96"/>
      <x:c r="G2" s="96"/>
      <x:c r="H2" s="96"/>
      <x:c r="I2" s="96"/>
      <x:c r="J2" s="96"/>
      <x:c r="K2" s="96"/>
      <x:c r="L2" s="96"/>
      <x:c r="M2" s="96"/>
      <x:c r="N2" s="96"/>
      <x:c r="O2" s="96"/>
      <x:c r="P2" s="96"/>
      <x:c r="Q2" s="96"/>
      <x:c r="R2" s="96"/>
      <x:c r="S2" s="96"/>
      <x:c r="T2" s="96"/>
      <x:c r="U2" s="96"/>
      <x:c r="V2" s="96"/>
      <x:c r="W2" s="96"/>
      <x:c r="X2" s="96"/>
      <x:c r="Y2" s="96"/>
      <x:c r="Z2" s="96"/>
      <x:c r="AA2" s="96"/>
      <x:c r="AB2" s="96"/>
      <x:c r="AC2" s="96"/>
      <x:c r="AD2" s="96"/>
      <x:c r="AE2" s="96"/>
      <x:c r="AF2" s="96"/>
      <x:c r="AG2" s="96"/>
    </x:row>
    <x:row r="3" ht="22" customHeight="1">
      <x:c r="A3" s="2" t="str">
        <x:v>Scenario ID</x:v>
      </x:c>
      <x:c r="B3" s="2" t="str">
        <x:v>Total Users</x:v>
      </x:c>
      <x:c r="C3" s="2" t="str">
        <x:v>Term Years</x:v>
      </x:c>
      <x:c r="D3" s="2" t="str">
        <x:v>EarlyAdopter</x:v>
      </x:c>
      <x:c r="E3" s="2" t="str">
        <x:v>BLS Seats Y1 Net</x:v>
      </x:c>
      <x:c r="F3" s="2" t="str">
        <x:v>ALS Y1 Net</x:v>
      </x:c>
      <x:c r="G3" s="2" t="str">
        <x:v>CC Y1 Net</x:v>
      </x:c>
      <x:c r="H3" s="2" t="str">
        <x:v>Support Y1 Net</x:v>
      </x:c>
      <x:c r="I3" s="62" t="str">
        <x:v>Storage Y1 Net (workshop item)</x:v>
      </x:c>
      <x:c r="J3" s="2" t="str">
        <x:v>Prem Maint Y1 Net</x:v>
      </x:c>
      <x:c r="K3" s="2" t="str">
        <x:v>Branding Y1 Net</x:v>
      </x:c>
      <x:c r="L3" s="2" t="str">
        <x:v>API Y1 Net</x:v>
      </x:c>
      <x:c r="M3" s="2" t="str">
        <x:v>Recurring List Y1 Net</x:v>
      </x:c>
      <x:c r="N3" s="2" t="str">
        <x:v>Onsite Impl Upgrade Y1 OneTime</x:v>
      </x:c>
      <x:c r="O3" s="2" t="str">
        <x:v>Default Remote Impl Y1 OneTime</x:v>
      </x:c>
      <x:c r="P3" s="2" t="str">
        <x:v>Prem Setup Y1 OneTime</x:v>
      </x:c>
      <x:c r="Q3" s="2" t="str">
        <x:v>OneTime Y1 Total</x:v>
      </x:c>
      <x:c r="R3" s="2" t="str">
        <x:v>List Total Y1 Net</x:v>
      </x:c>
      <x:c r="S3" s="2" t="str">
        <x:v>Term Factor</x:v>
      </x:c>
      <x:c r="T3" s="2" t="str">
        <x:v>Volume Disc Pct</x:v>
      </x:c>
      <x:c r="U3" s="2" t="str">
        <x:v>Early Factor</x:v>
      </x:c>
      <x:c r="V3" s="2" t="str">
        <x:v>Eff Disc Pct</x:v>
      </x:c>
      <x:c r="W3" s="2" t="str">
        <x:v>Recurring Net Y1</x:v>
      </x:c>
      <x:c r="X3" s="2" t="str">
        <x:v>Net Y1</x:v>
      </x:c>
      <x:c r="Y3" s="2" t="str">
        <x:v>Gross Y1</x:v>
      </x:c>
      <x:c r="Z3" s="2" t="str">
        <x:v>Recurring Net Y2</x:v>
      </x:c>
      <x:c r="AA3" s="2" t="str">
        <x:v>Net Y2</x:v>
      </x:c>
      <x:c r="AB3" s="2" t="str">
        <x:v>Recurring Net_Y3</x:v>
      </x:c>
      <x:c r="AC3" s="2" t="str">
        <x:v>Net Y3</x:v>
      </x:c>
      <x:c r="AD3" s="2" t="str">
        <x:v>ARPU Y1 Net</x:v>
      </x:c>
      <x:c r="AE3" s="2" t="str">
        <x:v>ARPU Y2 Net</x:v>
      </x:c>
      <x:c r="AF3" s="2" t="str">
        <x:v>ARPU Y3 Net</x:v>
      </x:c>
    </x:row>
    <x:row r="4" ht="16" customHeight="1">
      <x:c r="A4" s="3" t="str">
        <x:v>Entry_8</x:v>
      </x:c>
      <x:c r="B4" s="17" t="n">
        <x:f>VLOOKUP($A4,Customer_Scenarios!$A$4:$T$16,3,FALSE)</x:f>
        <x:v>8</x:v>
      </x:c>
      <x:c r="C4" s="27" t="n">
        <x:f>VLOOKUP($A4,Customer_Scenarios!$A$4:$T$16,4,FALSE)</x:f>
        <x:v>1</x:v>
      </x:c>
      <x:c r="D4" s="15" t="str">
        <x:f>VLOOKUP($A4,Customer_Scenarios!$A$4:$T$16,5,FALSE)</x:f>
        <x:v>N</x:v>
      </x:c>
      <x:c r="E4" s="10" t="n">
        <x:f>IF(Inputs!$B$14="Flat",$B4*Inputs!$B$15*(1+Inputs!$B$45)*12,((VLOOKUP($A4,Customer_Scenarios!$A$4:$T$16,6,FALSE))*Inputs!$B$16*(1+Inputs!$B$45)+(VLOOKUP($A4,Customer_Scenarios!$A$4:$T$16,7,FALSE))*Inputs!$B$17*(1+Inputs!$B$45)+(VLOOKUP($A4,Customer_Scenarios!$A$4:$T$16,8,FALSE))*Inputs!$B$18*(1+Inputs!$B$45)+(VLOOKUP($A4,Customer_Scenarios!$A$4:$T$16,9,FALSE))*Inputs!$B$19*(1+Inputs!$B$45))*12)</x:f>
        <x:v>42480</x:v>
      </x:c>
      <x:c r="F4" s="10" t="n">
        <x:f>MAX(VLOOKUP($A4,Customer_Scenarios!$A$4:$T$16,11,FALSE)-VLOOKUP($A4,Customer_Scenarios!$A$4:$T$16,12,FALSE),0)*Inputs!$B$20*12</x:f>
        <x:v>0</x:v>
      </x:c>
      <x:c r="G4" s="10" t="n">
        <x:f>VLOOKUP($A4,Customer_Scenarios!$A$4:$T$16,12,FALSE)*Inputs!$B$21*12</x:f>
        <x:v>0</x:v>
      </x:c>
      <x:c r="H4" s="10" t="n">
        <x:f>IF(VLOOKUP($A4,Customer_Scenarios!$A$4:$T$16,13,FALSE)="24_7",$B4*Inputs!$B$22*12,0)</x:f>
        <x:v>0</x:v>
      </x:c>
      <x:c r="I4" s="63" t="n">
        <x:f>0</x:f>
        <x:v>0</x:v>
      </x:c>
      <x:c r="J4" s="10" t="n">
        <x:f>12*IF(VLOOKUP($A4,Customer_Scenarios!$A$4:$T$16,15,FALSE)="Small",Inputs!$B$29,IF(VLOOKUP($A4,Customer_Scenarios!$A$4:$T$16,15,FALSE)="Mid",Inputs!$B$30,IF(VLOOKUP($A4,Customer_Scenarios!$A$4:$T$16,15,FALSE)="Large",Inputs!$B$31,0)))</x:f>
        <x:v>0</x:v>
      </x:c>
      <x:c r="K4" s="10" t="n">
        <x:f>IF(VLOOKUP($A4,Customer_Scenarios!$A$4:$T$16,16,FALSE)="Y",Inputs!$B$32,0)</x:f>
        <x:v>0</x:v>
      </x:c>
      <x:c r="L4" s="10" t="n">
        <x:f>IF(VLOOKUP($A4,Customer_Scenarios!$A$4:$T$16,17,FALSE)="Read",Inputs!$B$33,IF(VLOOKUP($A4,Customer_Scenarios!$A$4:$T$16,17,FALSE)="ReadWrite",Inputs!$B$34,0))</x:f>
        <x:v>0</x:v>
      </x:c>
      <x:c r="M4" s="10" t="n">
        <x:f t="shared" ref="M4:M16" si="0">SUM(E4:J4)</x:f>
        <x:v>42480</x:v>
      </x:c>
      <x:c r="N4" s="10" t="n">
        <x:f>IF(VLOOKUP($A4,Customer_Scenarios!$A$4:$T$16,18,FALSE)="Standard",$B4*Inputs!$B$49,IF(VLOOKUP($A4,Customer_Scenarios!$A$4:$T$16,18,FALSE)="Enterprise",$B4*Inputs!$B$50,0))</x:f>
        <x:v>0</x:v>
      </x:c>
      <x:c r="O4" s="10" t="n">
        <x:f>$B4*Inputs!$B$48</x:f>
        <x:v>16400</x:v>
      </x:c>
      <x:c r="P4" s="10" t="n">
        <x:f>IF(VLOOKUP($A4,Customer_Scenarios!$A$4:$T$16,15,FALSE)="Small",Inputs!$B$26,IF(VLOOKUP($A4,Customer_Scenarios!$A$4:$T$16,15,FALSE)="Mid",Inputs!$B$27,IF(VLOOKUP($A4,Customer_Scenarios!$A$4:$T$16,15,FALSE)="Large",Inputs!$B$28,0)))</x:f>
        <x:v>0</x:v>
      </x:c>
      <x:c r="Q4" s="10" t="n">
        <x:f t="shared" ref="Q4:Q16" si="1">SUM(N4:P4)+K4+L4</x:f>
        <x:v>16400</x:v>
      </x:c>
      <x:c r="R4" s="10" t="n">
        <x:f t="shared" ref="R4:R16" si="2">M4+Q4</x:f>
        <x:v>58880</x:v>
      </x:c>
      <x:c r="S4" s="28" t="n">
        <x:f>IF($C4=1,1,IF($C4=2,1-Inputs!$B$35,IF($C4=3,1-Inputs!$B$36,1)))</x:f>
        <x:v>1</x:v>
      </x:c>
      <x:c r="T4" s="29" t="n">
        <x:f>VLOOKUP($B4,Inputs!$E$4:$G$6,3,TRUE)</x:f>
        <x:v>0</x:v>
      </x:c>
      <x:c r="U4" s="28" t="n">
        <x:f>IF($D4="Y",1-Inputs!$B$37,1)</x:f>
        <x:v>1</x:v>
      </x:c>
      <x:c r="V4" s="29" t="n">
        <x:f>MIN(1-($S4*(1-$T4)*$U4),Inputs!$B$38)</x:f>
        <x:v>0</x:v>
      </x:c>
      <x:c r="W4" s="10" t="n">
        <x:f t="shared" ref="W4:W16" si="3">M4*(1-$V4)</x:f>
        <x:v>42480</x:v>
      </x:c>
      <x:c r="X4" s="10" t="n">
        <x:f t="shared" ref="X4:X16" si="4">W4+Q4</x:f>
        <x:v>58880</x:v>
      </x:c>
      <x:c r="Y4" s="10" t="n">
        <x:f>X4*(1+Inputs!$B$5)</x:f>
        <x:v>64768.00000000001</x:v>
      </x:c>
      <x:c r="Z4" s="10" t="n">
        <x:f>W4*(1+Inputs!$B$39)</x:f>
        <x:v>43329.6</x:v>
      </x:c>
      <x:c r="AA4" s="10" t="n">
        <x:f t="shared" ref="AA4:AA16" si="5">Z4</x:f>
        <x:v>43329.6</x:v>
      </x:c>
      <x:c r="AB4" s="10" t="n">
        <x:f>Z4*(1+Inputs!$B$40)</x:f>
        <x:v>44196.192</x:v>
      </x:c>
      <x:c r="AC4" s="10" t="n">
        <x:f t="shared" ref="AC4:AC16" si="6">AB4</x:f>
        <x:v>44196.192</x:v>
      </x:c>
      <x:c r="AD4" s="10" t="n">
        <x:f t="shared" ref="AD4:AD16" si="7">IF($B4=0,0,$X4/$B4)</x:f>
        <x:v>7360</x:v>
      </x:c>
      <x:c r="AE4" s="10" t="n">
        <x:f t="shared" ref="AE4:AE16" si="8">IF($B4=0,0,$AA4/$B4)</x:f>
        <x:v>5416.2</x:v>
      </x:c>
      <x:c r="AF4" s="10" t="n">
        <x:f t="shared" ref="AF4:AF16" si="9">IF($B4=0,0,$AC4/$B4)</x:f>
        <x:v>5524.524</x:v>
      </x:c>
    </x:row>
    <x:row r="5" ht="16" customHeight="1">
      <x:c r="A5" s="3" t="str">
        <x:v>Small_15_Core</x:v>
      </x:c>
      <x:c r="B5" s="17" t="n">
        <x:f>VLOOKUP($A5,Customer_Scenarios!$A$4:$T$16,3,FALSE)</x:f>
        <x:v>14</x:v>
      </x:c>
      <x:c r="C5" s="27" t="n">
        <x:f>VLOOKUP($A5,Customer_Scenarios!$A$4:$T$16,4,FALSE)</x:f>
        <x:v>1</x:v>
      </x:c>
      <x:c r="D5" s="15" t="str">
        <x:f>VLOOKUP($A5,Customer_Scenarios!$A$4:$T$16,5,FALSE)</x:f>
        <x:v>Y</x:v>
      </x:c>
      <x:c r="E5" s="10" t="n">
        <x:f>IF(Inputs!$B$14="Flat",$B5*Inputs!$B$15*(1+Inputs!$B$45)*12,((VLOOKUP($A5,Customer_Scenarios!$A$4:$T$16,6,FALSE))*Inputs!$B$16*(1+Inputs!$B$45)+(VLOOKUP($A5,Customer_Scenarios!$A$4:$T$16,7,FALSE))*Inputs!$B$17*(1+Inputs!$B$45)+(VLOOKUP($A5,Customer_Scenarios!$A$4:$T$16,8,FALSE))*Inputs!$B$18*(1+Inputs!$B$45)+(VLOOKUP($A5,Customer_Scenarios!$A$4:$T$16,9,FALSE))*Inputs!$B$19*(1+Inputs!$B$45))*12)</x:f>
        <x:v>71580</x:v>
      </x:c>
      <x:c r="F5" s="10" t="n">
        <x:f>MAX(VLOOKUP($A5,Customer_Scenarios!$A$4:$T$16,11,FALSE)-VLOOKUP($A5,Customer_Scenarios!$A$4:$T$16,12,FALSE),0)*Inputs!$B$20*12</x:f>
        <x:v>0</x:v>
      </x:c>
      <x:c r="G5" s="10" t="n">
        <x:f>VLOOKUP($A5,Customer_Scenarios!$A$4:$T$16,12,FALSE)*Inputs!$B$21*12</x:f>
        <x:v>0</x:v>
      </x:c>
      <x:c r="H5" s="10" t="n">
        <x:f>IF(VLOOKUP($A5,Customer_Scenarios!$A$4:$T$16,13,FALSE)="24_7",$B5*Inputs!$B$22*12,0)</x:f>
        <x:v>0</x:v>
      </x:c>
      <x:c r="I5" s="63" t="n">
        <x:f>0</x:f>
        <x:v>0</x:v>
      </x:c>
      <x:c r="J5" s="10" t="n">
        <x:f>12*IF(VLOOKUP($A5,Customer_Scenarios!$A$4:$T$16,15,FALSE)="Small",Inputs!$B$29,IF(VLOOKUP($A5,Customer_Scenarios!$A$4:$T$16,15,FALSE)="Mid",Inputs!$B$30,IF(VLOOKUP($A5,Customer_Scenarios!$A$4:$T$16,15,FALSE)="Large",Inputs!$B$31,0)))</x:f>
        <x:v>0</x:v>
      </x:c>
      <x:c r="K5" s="10" t="n">
        <x:f>IF(VLOOKUP($A5,Customer_Scenarios!$A$4:$T$16,16,FALSE)="Y",Inputs!$B$32,0)</x:f>
        <x:v>0</x:v>
      </x:c>
      <x:c r="L5" s="10" t="n">
        <x:f>IF(VLOOKUP($A5,Customer_Scenarios!$A$4:$T$16,17,FALSE)="Read",Inputs!$B$33,IF(VLOOKUP($A5,Customer_Scenarios!$A$4:$T$16,17,FALSE)="ReadWrite",Inputs!$B$34,0))</x:f>
        <x:v>0</x:v>
      </x:c>
      <x:c r="M5" s="10" t="n">
        <x:f t="shared" si="0"/>
        <x:v>84960</x:v>
      </x:c>
      <x:c r="N5" s="10" t="n">
        <x:f>IF(VLOOKUP($A5,Customer_Scenarios!$A$4:$T$16,18,FALSE)="Standard",$B5*Inputs!$B$49,IF(VLOOKUP($A5,Customer_Scenarios!$A$4:$T$16,18,FALSE)="Enterprise",$B5*Inputs!$B$50,0))</x:f>
        <x:v>0</x:v>
      </x:c>
      <x:c r="O5" s="10" t="n">
        <x:f>$B5*Inputs!$B$48</x:f>
        <x:v>28700</x:v>
      </x:c>
      <x:c r="P5" s="10" t="n">
        <x:f>IF(VLOOKUP($A5,Customer_Scenarios!$A$4:$T$16,15,FALSE)="Small",Inputs!$B$26,IF(VLOOKUP($A5,Customer_Scenarios!$A$4:$T$16,15,FALSE)="Mid",Inputs!$B$27,IF(VLOOKUP($A5,Customer_Scenarios!$A$4:$T$16,15,FALSE)="Large",Inputs!$B$28,0)))</x:f>
        <x:v>0</x:v>
      </x:c>
      <x:c r="Q5" s="10" t="n">
        <x:f t="shared" si="1"/>
        <x:v>36000</x:v>
      </x:c>
      <x:c r="R5" s="10" t="n">
        <x:f t="shared" si="2"/>
        <x:v>120960</x:v>
      </x:c>
      <x:c r="S5" s="28" t="n">
        <x:f>IF($C5=1,1,IF($C5=2,1-Inputs!$B$35,IF($C5=3,1-Inputs!$B$36,1)))</x:f>
        <x:v>1</x:v>
      </x:c>
      <x:c r="T5" s="29" t="n">
        <x:f>VLOOKUP($B5,Inputs!$E$4:$G$6,3,TRUE)</x:f>
        <x:v>0</x:v>
      </x:c>
      <x:c r="U5" s="28" t="n">
        <x:f>IF($D5="Y",1-Inputs!$B$37,1)</x:f>
        <x:v>0.95</x:v>
      </x:c>
      <x:c r="V5" s="29" t="n">
        <x:f>MIN(1-($S5*(1-$T5)*$U5),Inputs!$B$38)</x:f>
        <x:v>0.050000000000000044</x:v>
      </x:c>
      <x:c r="W5" s="10" t="n">
        <x:f t="shared" si="3"/>
        <x:v>80712</x:v>
      </x:c>
      <x:c r="X5" s="10" t="n">
        <x:f t="shared" si="4"/>
        <x:v>116712</x:v>
      </x:c>
      <x:c r="Y5" s="10" t="n">
        <x:f>X5*(1+Inputs!$B$5)</x:f>
        <x:v>128383.20000000001</x:v>
      </x:c>
      <x:c r="Z5" s="10" t="n">
        <x:f>W5*(1+Inputs!$B$39)</x:f>
        <x:v>82326.24</x:v>
      </x:c>
      <x:c r="AA5" s="10" t="n">
        <x:f t="shared" si="5"/>
        <x:v>82326.24</x:v>
      </x:c>
      <x:c r="AB5" s="10" t="n">
        <x:f>Z5*(1+Inputs!$B$40)</x:f>
        <x:v>83972.7648</x:v>
      </x:c>
      <x:c r="AC5" s="10" t="n">
        <x:f t="shared" si="6"/>
        <x:v>83972.7648</x:v>
      </x:c>
      <x:c r="AD5" s="10" t="n">
        <x:f t="shared" si="7"/>
        <x:v>7780.8</x:v>
      </x:c>
      <x:c r="AE5" s="10" t="n">
        <x:f t="shared" si="8"/>
        <x:v>5488.416</x:v>
      </x:c>
      <x:c r="AF5" s="10" t="n">
        <x:f t="shared" si="9"/>
        <x:v>5598.18432</x:v>
      </x:c>
    </x:row>
    <x:row r="6" ht="16" customHeight="1">
      <x:c r="A6" s="3" t="str">
        <x:v>Small_15_Advanced</x:v>
      </x:c>
      <x:c r="B6" s="17" t="n">
        <x:f>VLOOKUP($A6,Customer_Scenarios!$A$4:$T$16,3,FALSE)</x:f>
        <x:v>14</x:v>
      </x:c>
      <x:c r="C6" s="27" t="n">
        <x:f>VLOOKUP($A6,Customer_Scenarios!$A$4:$T$16,4,FALSE)</x:f>
        <x:v>1</x:v>
      </x:c>
      <x:c r="D6" s="15" t="str">
        <x:f>VLOOKUP($A6,Customer_Scenarios!$A$4:$T$16,5,FALSE)</x:f>
        <x:v>Y</x:v>
      </x:c>
      <x:c r="E6" s="10" t="n">
        <x:f>IF(Inputs!$B$14="Flat",$B6*Inputs!$B$15*(1+Inputs!$B$45)*12,((VLOOKUP($A6,Customer_Scenarios!$A$4:$T$16,6,FALSE))*Inputs!$B$16*(1+Inputs!$B$45)+(VLOOKUP($A6,Customer_Scenarios!$A$4:$T$16,7,FALSE))*Inputs!$B$17*(1+Inputs!$B$45)+(VLOOKUP($A6,Customer_Scenarios!$A$4:$T$16,8,FALSE))*Inputs!$B$18*(1+Inputs!$B$45)+(VLOOKUP($A6,Customer_Scenarios!$A$4:$T$16,9,FALSE))*Inputs!$B$19*(1+Inputs!$B$45))*12)</x:f>
        <x:v>71580</x:v>
      </x:c>
      <x:c r="F6" s="10" t="n">
        <x:f>MAX(VLOOKUP($A6,Customer_Scenarios!$A$4:$T$16,11,FALSE)-VLOOKUP($A6,Customer_Scenarios!$A$4:$T$16,12,FALSE),0)*Inputs!$B$20*12</x:f>
        <x:v>7920</x:v>
      </x:c>
      <x:c r="G6" s="10" t="n">
        <x:f>VLOOKUP($A6,Customer_Scenarios!$A$4:$T$16,12,FALSE)*Inputs!$B$21*12</x:f>
        <x:v>0</x:v>
      </x:c>
      <x:c r="H6" s="10" t="n">
        <x:f>IF(VLOOKUP($A6,Customer_Scenarios!$A$4:$T$16,13,FALSE)="24_7",$B6*Inputs!$B$22*12,0)</x:f>
        <x:v>0</x:v>
      </x:c>
      <x:c r="I6" s="63" t="n">
        <x:f>0</x:f>
        <x:v>0</x:v>
      </x:c>
      <x:c r="J6" s="10" t="n">
        <x:f>12*IF(VLOOKUP($A6,Customer_Scenarios!$A$4:$T$16,15,FALSE)="Small",Inputs!$B$29,IF(VLOOKUP($A6,Customer_Scenarios!$A$4:$T$16,15,FALSE)="Mid",Inputs!$B$30,IF(VLOOKUP($A6,Customer_Scenarios!$A$4:$T$16,15,FALSE)="Large",Inputs!$B$31,0)))</x:f>
        <x:v>0</x:v>
      </x:c>
      <x:c r="K6" s="10" t="n">
        <x:f>IF(VLOOKUP($A6,Customer_Scenarios!$A$4:$T$16,16,FALSE)="Y",Inputs!$B$32,0)</x:f>
        <x:v>0</x:v>
      </x:c>
      <x:c r="L6" s="10" t="n">
        <x:f>IF(VLOOKUP($A6,Customer_Scenarios!$A$4:$T$16,17,FALSE)="Read",Inputs!$B$33,IF(VLOOKUP($A6,Customer_Scenarios!$A$4:$T$16,17,FALSE)="ReadWrite",Inputs!$B$34,0))</x:f>
        <x:v>0</x:v>
      </x:c>
      <x:c r="M6" s="10" t="n">
        <x:f t="shared" si="0"/>
        <x:v>93600</x:v>
      </x:c>
      <x:c r="N6" s="10" t="n">
        <x:f>IF(VLOOKUP($A6,Customer_Scenarios!$A$4:$T$16,18,FALSE)="Standard",$B6*Inputs!$B$49,IF(VLOOKUP($A6,Customer_Scenarios!$A$4:$T$16,18,FALSE)="Enterprise",$B6*Inputs!$B$50,0))</x:f>
        <x:v>0</x:v>
      </x:c>
      <x:c r="O6" s="10" t="n">
        <x:f>$B6*Inputs!$B$48</x:f>
        <x:v>28700</x:v>
      </x:c>
      <x:c r="P6" s="10" t="n">
        <x:f>IF(VLOOKUP($A6,Customer_Scenarios!$A$4:$T$16,15,FALSE)="Small",Inputs!$B$26,IF(VLOOKUP($A6,Customer_Scenarios!$A$4:$T$16,15,FALSE)="Mid",Inputs!$B$27,IF(VLOOKUP($A6,Customer_Scenarios!$A$4:$T$16,15,FALSE)="Large",Inputs!$B$28,0)))</x:f>
        <x:v>0</x:v>
      </x:c>
      <x:c r="Q6" s="10" t="n">
        <x:f t="shared" si="1"/>
        <x:v>36000</x:v>
      </x:c>
      <x:c r="R6" s="10" t="n">
        <x:f t="shared" si="2"/>
        <x:v>129600</x:v>
      </x:c>
      <x:c r="S6" s="28" t="n">
        <x:f>IF($C6=1,1,IF($C6=2,1-Inputs!$B$35,IF($C6=3,1-Inputs!$B$36,1)))</x:f>
        <x:v>1</x:v>
      </x:c>
      <x:c r="T6" s="29" t="n">
        <x:f>VLOOKUP($B6,Inputs!$E$4:$G$6,3,TRUE)</x:f>
        <x:v>0</x:v>
      </x:c>
      <x:c r="U6" s="28" t="n">
        <x:f>IF($D6="Y",1-Inputs!$B$37,1)</x:f>
        <x:v>0.95</x:v>
      </x:c>
      <x:c r="V6" s="29" t="n">
        <x:f>MIN(1-($S6*(1-$T6)*$U6),Inputs!$B$38)</x:f>
        <x:v>0.050000000000000044</x:v>
      </x:c>
      <x:c r="W6" s="10" t="n">
        <x:f t="shared" si="3"/>
        <x:v>88920</x:v>
      </x:c>
      <x:c r="X6" s="10" t="n">
        <x:f t="shared" si="4"/>
        <x:v>124920</x:v>
      </x:c>
      <x:c r="Y6" s="10" t="n">
        <x:f>X6*(1+Inputs!$B$5)</x:f>
        <x:v>137412</x:v>
      </x:c>
      <x:c r="Z6" s="10" t="n">
        <x:f>W6*(1+Inputs!$B$39)</x:f>
        <x:v>90698.40000000001</x:v>
      </x:c>
      <x:c r="AA6" s="10" t="n">
        <x:f t="shared" si="5"/>
        <x:v>90698.40000000001</x:v>
      </x:c>
      <x:c r="AB6" s="10" t="n">
        <x:f>Z6*(1+Inputs!$B$40)</x:f>
        <x:v>92512.36800000002</x:v>
      </x:c>
      <x:c r="AC6" s="10" t="n">
        <x:f t="shared" si="6"/>
        <x:v>92512.36800000002</x:v>
      </x:c>
      <x:c r="AD6" s="10" t="n">
        <x:f t="shared" si="7"/>
        <x:v>8328</x:v>
      </x:c>
      <x:c r="AE6" s="10" t="n">
        <x:f t="shared" si="8"/>
        <x:v>6046.56</x:v>
      </x:c>
      <x:c r="AF6" s="10" t="n">
        <x:f t="shared" si="9"/>
        <x:v>6167.491200000001</x:v>
      </x:c>
    </x:row>
    <x:row r="7" ht="16" customHeight="1">
      <x:c r="A7" s="3" t="str">
        <x:v>Small_15_Premium</x:v>
      </x:c>
      <x:c r="B7" s="17" t="n">
        <x:f>VLOOKUP($A7,Customer_Scenarios!$A$4:$T$16,3,FALSE)</x:f>
        <x:v>14</x:v>
      </x:c>
      <x:c r="C7" s="27" t="n">
        <x:f>VLOOKUP($A7,Customer_Scenarios!$A$4:$T$16,4,FALSE)</x:f>
        <x:v>1</x:v>
      </x:c>
      <x:c r="D7" s="15" t="str">
        <x:f>VLOOKUP($A7,Customer_Scenarios!$A$4:$T$16,5,FALSE)</x:f>
        <x:v>Y</x:v>
      </x:c>
      <x:c r="E7" s="10" t="n">
        <x:f>IF(Inputs!$B$14="Flat",$B7*Inputs!$B$15*(1+Inputs!$B$45)*12,((VLOOKUP($A7,Customer_Scenarios!$A$4:$T$16,6,FALSE))*Inputs!$B$16*(1+Inputs!$B$45)+(VLOOKUP($A7,Customer_Scenarios!$A$4:$T$16,7,FALSE))*Inputs!$B$17*(1+Inputs!$B$45)+(VLOOKUP($A7,Customer_Scenarios!$A$4:$T$16,8,FALSE))*Inputs!$B$18*(1+Inputs!$B$45)+(VLOOKUP($A7,Customer_Scenarios!$A$4:$T$16,9,FALSE))*Inputs!$B$19*(1+Inputs!$B$45))*12)</x:f>
        <x:v>71580</x:v>
      </x:c>
      <x:c r="F7" s="10" t="n">
        <x:f>MAX(VLOOKUP($A7,Customer_Scenarios!$A$4:$T$16,11,FALSE)-VLOOKUP($A7,Customer_Scenarios!$A$4:$T$16,12,FALSE),0)*Inputs!$B$20*12</x:f>
        <x:v>5280</x:v>
      </x:c>
      <x:c r="G7" s="10" t="n">
        <x:f>VLOOKUP($A7,Customer_Scenarios!$A$4:$T$16,12,FALSE)*Inputs!$B$21*12</x:f>
        <x:v>3840</x:v>
      </x:c>
      <x:c r="H7" s="10" t="n">
        <x:f>IF(VLOOKUP($A7,Customer_Scenarios!$A$4:$T$16,13,FALSE)="24_7",$B7*Inputs!$B$22*12,0)</x:f>
        <x:v>12600</x:v>
      </x:c>
      <x:c r="I7" s="63" t="n">
        <x:f>0</x:f>
        <x:v>0</x:v>
      </x:c>
      <x:c r="J7" s="10" t="n">
        <x:f>12*IF(VLOOKUP($A7,Customer_Scenarios!$A$4:$T$16,15,FALSE)="Small",Inputs!$B$29,IF(VLOOKUP($A7,Customer_Scenarios!$A$4:$T$16,15,FALSE)="Mid",Inputs!$B$30,IF(VLOOKUP($A7,Customer_Scenarios!$A$4:$T$16,15,FALSE)="Large",Inputs!$B$31,0)))</x:f>
        <x:v>0</x:v>
      </x:c>
      <x:c r="K7" s="10" t="n">
        <x:f>IF(VLOOKUP($A7,Customer_Scenarios!$A$4:$T$16,16,FALSE)="Y",Inputs!$B$32,0)</x:f>
        <x:v>0</x:v>
      </x:c>
      <x:c r="L7" s="10" t="n">
        <x:f>IF(VLOOKUP($A7,Customer_Scenarios!$A$4:$T$16,17,FALSE)="Read",Inputs!$B$33,IF(VLOOKUP($A7,Customer_Scenarios!$A$4:$T$16,17,FALSE)="ReadWrite",Inputs!$B$34,0))</x:f>
        <x:v>0</x:v>
      </x:c>
      <x:c r="M7" s="10" t="n">
        <x:f t="shared" si="0"/>
        <x:v>108540</x:v>
      </x:c>
      <x:c r="N7" s="10" t="n">
        <x:f>IF(VLOOKUP($A7,Customer_Scenarios!$A$4:$T$16,18,FALSE)="Standard",$B7*Inputs!$B$49,IF(VLOOKUP($A7,Customer_Scenarios!$A$4:$T$16,18,FALSE)="Enterprise",$B7*Inputs!$B$50,0))</x:f>
        <x:v>0</x:v>
      </x:c>
      <x:c r="O7" s="10" t="n">
        <x:f>$B7*Inputs!$B$48</x:f>
        <x:v>28700</x:v>
      </x:c>
      <x:c r="P7" s="10" t="n">
        <x:f>IF(VLOOKUP($A7,Customer_Scenarios!$A$4:$T$16,15,FALSE)="Small",Inputs!$B$26,IF(VLOOKUP($A7,Customer_Scenarios!$A$4:$T$16,15,FALSE)="Mid",Inputs!$B$27,IF(VLOOKUP($A7,Customer_Scenarios!$A$4:$T$16,15,FALSE)="Large",Inputs!$B$28,0)))</x:f>
        <x:v>0</x:v>
      </x:c>
      <x:c r="Q7" s="10" t="n">
        <x:f t="shared" si="1"/>
        <x:v>36000</x:v>
      </x:c>
      <x:c r="R7" s="10" t="n">
        <x:f t="shared" si="2"/>
        <x:v>144540</x:v>
      </x:c>
      <x:c r="S7" s="28" t="n">
        <x:f>IF($C7=1,1,IF($C7=2,1-Inputs!$B$35,IF($C7=3,1-Inputs!$B$36,1)))</x:f>
        <x:v>1</x:v>
      </x:c>
      <x:c r="T7" s="29" t="n">
        <x:f>VLOOKUP($B7,Inputs!$E$4:$G$6,3,TRUE)</x:f>
        <x:v>0</x:v>
      </x:c>
      <x:c r="U7" s="28" t="n">
        <x:f>IF($D7="Y",1-Inputs!$B$37,1)</x:f>
        <x:v>0.95</x:v>
      </x:c>
      <x:c r="V7" s="29" t="n">
        <x:f>MIN(1-($S7*(1-$T7)*$U7),Inputs!$B$38)</x:f>
        <x:v>0.050000000000000044</x:v>
      </x:c>
      <x:c r="W7" s="10" t="n">
        <x:f t="shared" si="3"/>
        <x:v>103113</x:v>
      </x:c>
      <x:c r="X7" s="10" t="n">
        <x:f t="shared" si="4"/>
        <x:v>139113</x:v>
      </x:c>
      <x:c r="Y7" s="10" t="n">
        <x:f>X7*(1+Inputs!$B$5)</x:f>
        <x:v>153024.30000000002</x:v>
      </x:c>
      <x:c r="Z7" s="10" t="n">
        <x:f>W7*(1+Inputs!$B$39)</x:f>
        <x:v>105175.26</x:v>
      </x:c>
      <x:c r="AA7" s="10" t="n">
        <x:f t="shared" si="5"/>
        <x:v>105175.26</x:v>
      </x:c>
      <x:c r="AB7" s="10" t="n">
        <x:f>Z7*(1+Inputs!$B$40)</x:f>
        <x:v>107278.7652</x:v>
      </x:c>
      <x:c r="AC7" s="10" t="n">
        <x:f t="shared" si="6"/>
        <x:v>107278.7652</x:v>
      </x:c>
      <x:c r="AD7" s="10" t="n">
        <x:f t="shared" si="7"/>
        <x:v>9274.2</x:v>
      </x:c>
      <x:c r="AE7" s="10" t="n">
        <x:f t="shared" si="8"/>
        <x:v>7011.683999999999</x:v>
      </x:c>
      <x:c r="AF7" s="10" t="n">
        <x:f t="shared" si="9"/>
        <x:v>7151.91768</x:v>
      </x:c>
    </x:row>
    <x:row r="8" ht="16" customHeight="1">
      <x:c r="A8" s="3" t="str">
        <x:v>Typical_30</x:v>
      </x:c>
      <x:c r="B8" s="17" t="n">
        <x:f>VLOOKUP($A8,Customer_Scenarios!$A$4:$T$16,3,FALSE)</x:f>
        <x:v>27</x:v>
      </x:c>
      <x:c r="C8" s="27" t="n">
        <x:f>VLOOKUP($A8,Customer_Scenarios!$A$4:$T$16,4,FALSE)</x:f>
        <x:v>1</x:v>
      </x:c>
      <x:c r="D8" s="15" t="str">
        <x:f>VLOOKUP($A8,Customer_Scenarios!$A$4:$T$16,5,FALSE)</x:f>
        <x:v>N</x:v>
      </x:c>
      <x:c r="E8" s="10" t="n">
        <x:f>IF(Inputs!$B$14="Flat",$B8*Inputs!$B$15*(1+Inputs!$B$45)*12,((VLOOKUP($A8,Customer_Scenarios!$A$4:$T$16,6,FALSE))*Inputs!$B$16*(1+Inputs!$B$45)+(VLOOKUP($A8,Customer_Scenarios!$A$4:$T$16,7,FALSE))*Inputs!$B$17*(1+Inputs!$B$45)+(VLOOKUP($A8,Customer_Scenarios!$A$4:$T$16,8,FALSE))*Inputs!$B$18*(1+Inputs!$B$45)+(VLOOKUP($A8,Customer_Scenarios!$A$4:$T$16,9,FALSE))*Inputs!$B$19*(1+Inputs!$B$45))*12)</x:f>
        <x:v>141000</x:v>
      </x:c>
      <x:c r="F8" s="10" t="n">
        <x:f>MAX(VLOOKUP($A8,Customer_Scenarios!$A$4:$T$16,11,FALSE)-VLOOKUP($A8,Customer_Scenarios!$A$4:$T$16,12,FALSE),0)*Inputs!$B$20*12</x:f>
        <x:v>11880</x:v>
      </x:c>
      <x:c r="G8" s="10" t="n">
        <x:f>VLOOKUP($A8,Customer_Scenarios!$A$4:$T$16,12,FALSE)*Inputs!$B$21*12</x:f>
        <x:v>0</x:v>
      </x:c>
      <x:c r="H8" s="10" t="n">
        <x:f>IF(VLOOKUP($A8,Customer_Scenarios!$A$4:$T$16,13,FALSE)="24_7",$B8*Inputs!$B$22*12,0)</x:f>
        <x:v>0</x:v>
      </x:c>
      <x:c r="I8" s="63" t="n">
        <x:f>0</x:f>
        <x:v>0</x:v>
      </x:c>
      <x:c r="J8" s="10" t="n">
        <x:f>12*IF(VLOOKUP($A8,Customer_Scenarios!$A$4:$T$16,15,FALSE)="Small",Inputs!$B$29,IF(VLOOKUP($A8,Customer_Scenarios!$A$4:$T$16,15,FALSE)="Mid",Inputs!$B$30,IF(VLOOKUP($A8,Customer_Scenarios!$A$4:$T$16,15,FALSE)="Large",Inputs!$B$31,0)))</x:f>
        <x:v>0</x:v>
      </x:c>
      <x:c r="K8" s="10" t="n">
        <x:f>IF(VLOOKUP($A8,Customer_Scenarios!$A$4:$T$16,16,FALSE)="Y",Inputs!$B$32,0)</x:f>
        <x:v>0</x:v>
      </x:c>
      <x:c r="L8" s="10" t="n">
        <x:f>IF(VLOOKUP($A8,Customer_Scenarios!$A$4:$T$16,17,FALSE)="Read",Inputs!$B$33,IF(VLOOKUP($A8,Customer_Scenarios!$A$4:$T$16,17,FALSE)="ReadWrite",Inputs!$B$34,0))</x:f>
        <x:v>8600</x:v>
      </x:c>
      <x:c r="M8" s="10" t="n">
        <x:f t="shared" si="0"/>
        <x:v>181920</x:v>
      </x:c>
      <x:c r="N8" s="10" t="n">
        <x:f>IF(VLOOKUP($A8,Customer_Scenarios!$A$4:$T$16,18,FALSE)="Standard",$B8*Inputs!$B$49,IF(VLOOKUP($A8,Customer_Scenarios!$A$4:$T$16,18,FALSE)="Enterprise",$B8*Inputs!$B$50,0))</x:f>
        <x:v>12150</x:v>
      </x:c>
      <x:c r="O8" s="10" t="n">
        <x:f>$B8*Inputs!$B$48</x:f>
        <x:v>55350</x:v>
      </x:c>
      <x:c r="P8" s="10" t="n">
        <x:f>IF(VLOOKUP($A8,Customer_Scenarios!$A$4:$T$16,15,FALSE)="Small",Inputs!$B$26,IF(VLOOKUP($A8,Customer_Scenarios!$A$4:$T$16,15,FALSE)="Mid",Inputs!$B$27,IF(VLOOKUP($A8,Customer_Scenarios!$A$4:$T$16,15,FALSE)="Large",Inputs!$B$28,0)))</x:f>
        <x:v>0</x:v>
      </x:c>
      <x:c r="Q8" s="10" t="n">
        <x:f t="shared" si="1"/>
        <x:v>97000</x:v>
      </x:c>
      <x:c r="R8" s="10" t="n">
        <x:f t="shared" si="2"/>
        <x:v>278920</x:v>
      </x:c>
      <x:c r="S8" s="28" t="n">
        <x:f>IF($C8=1,1,IF($C8=2,1-Inputs!$B$35,IF($C8=3,1-Inputs!$B$36,1)))</x:f>
        <x:v>1</x:v>
      </x:c>
      <x:c r="T8" s="29" t="n">
        <x:f>VLOOKUP($B8,Inputs!$E$4:$G$6,3,TRUE)</x:f>
        <x:v>0.05</x:v>
      </x:c>
      <x:c r="U8" s="28" t="n">
        <x:f>IF($D8="Y",1-Inputs!$B$37,1)</x:f>
        <x:v>1</x:v>
      </x:c>
      <x:c r="V8" s="29" t="n">
        <x:f>MIN(1-($S8*(1-$T8)*$U8),Inputs!$B$38)</x:f>
        <x:v>0.050000000000000044</x:v>
      </x:c>
      <x:c r="W8" s="10" t="n">
        <x:f t="shared" si="3"/>
        <x:v>172824</x:v>
      </x:c>
      <x:c r="X8" s="10" t="n">
        <x:f t="shared" si="4"/>
        <x:v>269824</x:v>
      </x:c>
      <x:c r="Y8" s="10" t="n">
        <x:f>X8*(1+Inputs!$B$5)</x:f>
        <x:v>296806.4</x:v>
      </x:c>
      <x:c r="Z8" s="10" t="n">
        <x:f>W8*(1+Inputs!$B$39)</x:f>
        <x:v>176280.48</x:v>
      </x:c>
      <x:c r="AA8" s="10" t="n">
        <x:f t="shared" si="5"/>
        <x:v>176280.48</x:v>
      </x:c>
      <x:c r="AB8" s="10" t="n">
        <x:f>Z8*(1+Inputs!$B$40)</x:f>
        <x:v>179806.0896</x:v>
      </x:c>
      <x:c r="AC8" s="10" t="n">
        <x:f t="shared" si="6"/>
        <x:v>179806.0896</x:v>
      </x:c>
      <x:c r="AD8" s="10" t="n">
        <x:f t="shared" si="7"/>
        <x:v>8994.133333333333</x:v>
      </x:c>
      <x:c r="AE8" s="10" t="n">
        <x:f t="shared" si="8"/>
        <x:v>5876.0160000000005</x:v>
      </x:c>
      <x:c r="AF8" s="10" t="n">
        <x:f t="shared" si="9"/>
        <x:v>5993.53632</x:v>
      </x:c>
    </x:row>
    <x:row r="9" ht="16" customHeight="1">
      <x:c r="A9" s="3" t="str">
        <x:v>Large_50_Core</x:v>
      </x:c>
      <x:c r="B9" s="17" t="n">
        <x:f>VLOOKUP($A9,Customer_Scenarios!$A$4:$T$16,3,FALSE)</x:f>
        <x:v>45</x:v>
      </x:c>
      <x:c r="C9" s="27" t="n">
        <x:f>VLOOKUP($A9,Customer_Scenarios!$A$4:$T$16,4,FALSE)</x:f>
        <x:v>2</x:v>
      </x:c>
      <x:c r="D9" s="15" t="str">
        <x:f>VLOOKUP($A9,Customer_Scenarios!$A$4:$T$16,5,FALSE)</x:f>
        <x:v>N</x:v>
      </x:c>
      <x:c r="E9" s="10" t="n">
        <x:f>IF(Inputs!$B$14="Flat",$B9*Inputs!$B$15*(1+Inputs!$B$45)*12,((VLOOKUP($A9,Customer_Scenarios!$A$4:$T$16,6,FALSE))*Inputs!$B$16*(1+Inputs!$B$45)+(VLOOKUP($A9,Customer_Scenarios!$A$4:$T$16,7,FALSE))*Inputs!$B$17*(1+Inputs!$B$45)+(VLOOKUP($A9,Customer_Scenarios!$A$4:$T$16,8,FALSE))*Inputs!$B$18*(1+Inputs!$B$45)+(VLOOKUP($A9,Customer_Scenarios!$A$4:$T$16,9,FALSE))*Inputs!$B$19*(1+Inputs!$B$45))*12)</x:f>
        <x:v>232200</x:v>
      </x:c>
      <x:c r="F9" s="10" t="n">
        <x:f>MAX(VLOOKUP($A9,Customer_Scenarios!$A$4:$T$16,11,FALSE)-VLOOKUP($A9,Customer_Scenarios!$A$4:$T$16,12,FALSE),0)*Inputs!$B$20*12</x:f>
        <x:v>0</x:v>
      </x:c>
      <x:c r="G9" s="10" t="n">
        <x:f>VLOOKUP($A9,Customer_Scenarios!$A$4:$T$16,12,FALSE)*Inputs!$B$21*12</x:f>
        <x:v>0</x:v>
      </x:c>
      <x:c r="H9" s="10" t="n">
        <x:f>IF(VLOOKUP($A9,Customer_Scenarios!$A$4:$T$16,13,FALSE)="24_7",$B9*Inputs!$B$22*12,0)</x:f>
        <x:v>40500</x:v>
      </x:c>
      <x:c r="I9" s="63" t="n">
        <x:f>0</x:f>
        <x:v>0</x:v>
      </x:c>
      <x:c r="J9" s="10" t="n">
        <x:f>12*IF(VLOOKUP($A9,Customer_Scenarios!$A$4:$T$16,15,FALSE)="Small",Inputs!$B$29,IF(VLOOKUP($A9,Customer_Scenarios!$A$4:$T$16,15,FALSE)="Mid",Inputs!$B$30,IF(VLOOKUP($A9,Customer_Scenarios!$A$4:$T$16,15,FALSE)="Large",Inputs!$B$31,0)))</x:f>
        <x:v>0</x:v>
      </x:c>
      <x:c r="K9" s="10" t="n">
        <x:f>IF(VLOOKUP($A9,Customer_Scenarios!$A$4:$T$16,16,FALSE)="Y",Inputs!$B$32,0)</x:f>
        <x:v>2600</x:v>
      </x:c>
      <x:c r="L9" s="10" t="n">
        <x:f>IF(VLOOKUP($A9,Customer_Scenarios!$A$4:$T$16,17,FALSE)="Read",Inputs!$B$33,IF(VLOOKUP($A9,Customer_Scenarios!$A$4:$T$16,17,FALSE)="ReadWrite",Inputs!$B$34,0))</x:f>
        <x:v>8600</x:v>
      </x:c>
      <x:c r="M9" s="10" t="n">
        <x:f t="shared" si="0"/>
        <x:v>324600</x:v>
      </x:c>
      <x:c r="N9" s="10" t="n">
        <x:f>IF(VLOOKUP($A9,Customer_Scenarios!$A$4:$T$16,18,FALSE)="Standard",$B9*Inputs!$B$49,IF(VLOOKUP($A9,Customer_Scenarios!$A$4:$T$16,18,FALSE)="Enterprise",$B9*Inputs!$B$50,0))</x:f>
        <x:v>20250</x:v>
      </x:c>
      <x:c r="O9" s="10" t="n">
        <x:f>$B9*Inputs!$B$48</x:f>
        <x:v>92250</x:v>
      </x:c>
      <x:c r="P9" s="10" t="n">
        <x:f>IF(VLOOKUP($A9,Customer_Scenarios!$A$4:$T$16,15,FALSE)="Small",Inputs!$B$26,IF(VLOOKUP($A9,Customer_Scenarios!$A$4:$T$16,15,FALSE)="Mid",Inputs!$B$27,IF(VLOOKUP($A9,Customer_Scenarios!$A$4:$T$16,15,FALSE)="Large",Inputs!$B$28,0)))</x:f>
        <x:v>0</x:v>
      </x:c>
      <x:c r="Q9" s="10" t="n">
        <x:f t="shared" si="1"/>
        <x:v>158000</x:v>
      </x:c>
      <x:c r="R9" s="10" t="n">
        <x:f t="shared" si="2"/>
        <x:v>482600</x:v>
      </x:c>
      <x:c r="S9" s="28" t="n">
        <x:f>IF($C9=1,1,IF($C9=2,1-Inputs!$B$35,IF($C9=3,1-Inputs!$B$36,1)))</x:f>
        <x:v>0.95</x:v>
      </x:c>
      <x:c r="T9" s="29" t="n">
        <x:f>VLOOKUP($B9,Inputs!$E$4:$G$6,3,TRUE)</x:f>
        <x:v>0.05</x:v>
      </x:c>
      <x:c r="U9" s="28" t="n">
        <x:f>IF($D9="Y",1-Inputs!$B$37,1)</x:f>
        <x:v>1</x:v>
      </x:c>
      <x:c r="V9" s="29" t="n">
        <x:f>MIN(1-($S9*(1-$T9)*$U9),Inputs!$B$38)</x:f>
        <x:v>0.09750000000000003</x:v>
      </x:c>
      <x:c r="W9" s="10" t="n">
        <x:f t="shared" si="3"/>
        <x:v>292951.5</x:v>
      </x:c>
      <x:c r="X9" s="10" t="n">
        <x:f t="shared" si="4"/>
        <x:v>450951.5</x:v>
      </x:c>
      <x:c r="Y9" s="10" t="n">
        <x:f>X9*(1+Inputs!$B$5)</x:f>
        <x:v>496046.65</x:v>
      </x:c>
      <x:c r="Z9" s="10" t="n">
        <x:f>W9*(1+Inputs!$B$39)</x:f>
        <x:v>298810.53</x:v>
      </x:c>
      <x:c r="AA9" s="10" t="n">
        <x:f t="shared" si="5"/>
        <x:v>298810.53</x:v>
      </x:c>
      <x:c r="AB9" s="10" t="n">
        <x:f>Z9*(1+Inputs!$B$40)</x:f>
        <x:v>304786.7406</x:v>
      </x:c>
      <x:c r="AC9" s="10" t="n">
        <x:f t="shared" si="6"/>
        <x:v>304786.7406</x:v>
      </x:c>
      <x:c r="AD9" s="10" t="n">
        <x:f t="shared" si="7"/>
        <x:v>9019.03</x:v>
      </x:c>
      <x:c r="AE9" s="10" t="n">
        <x:f t="shared" si="8"/>
        <x:v>5976.2106</x:v>
      </x:c>
      <x:c r="AF9" s="10" t="n">
        <x:f t="shared" si="9"/>
        <x:v>6095.734812000001</x:v>
      </x:c>
    </x:row>
    <x:row r="10" ht="16" customHeight="1">
      <x:c r="A10" s="3" t="str">
        <x:v>Large_50_Advanced</x:v>
      </x:c>
      <x:c r="B10" s="17" t="n">
        <x:f>VLOOKUP($A10,Customer_Scenarios!$A$4:$T$16,3,FALSE)</x:f>
        <x:v>45</x:v>
      </x:c>
      <x:c r="C10" s="27" t="n">
        <x:f>VLOOKUP($A10,Customer_Scenarios!$A$4:$T$16,4,FALSE)</x:f>
        <x:v>2</x:v>
      </x:c>
      <x:c r="D10" s="15" t="str">
        <x:f>VLOOKUP($A10,Customer_Scenarios!$A$4:$T$16,5,FALSE)</x:f>
        <x:v>N</x:v>
      </x:c>
      <x:c r="E10" s="10" t="n">
        <x:f>IF(Inputs!$B$14="Flat",$B10*Inputs!$B$15*(1+Inputs!$B$45)*12,((VLOOKUP($A10,Customer_Scenarios!$A$4:$T$16,6,FALSE))*Inputs!$B$16*(1+Inputs!$B$45)+(VLOOKUP($A10,Customer_Scenarios!$A$4:$T$16,7,FALSE))*Inputs!$B$17*(1+Inputs!$B$45)+(VLOOKUP($A10,Customer_Scenarios!$A$4:$T$16,8,FALSE))*Inputs!$B$18*(1+Inputs!$B$45)+(VLOOKUP($A10,Customer_Scenarios!$A$4:$T$16,9,FALSE))*Inputs!$B$19*(1+Inputs!$B$45))*12)</x:f>
        <x:v>232200</x:v>
      </x:c>
      <x:c r="F10" s="10" t="n">
        <x:f>MAX(VLOOKUP($A10,Customer_Scenarios!$A$4:$T$16,11,FALSE)-VLOOKUP($A10,Customer_Scenarios!$A$4:$T$16,12,FALSE),0)*Inputs!$B$20*12</x:f>
        <x:v>23760</x:v>
      </x:c>
      <x:c r="G10" s="10" t="n">
        <x:f>VLOOKUP($A10,Customer_Scenarios!$A$4:$T$16,12,FALSE)*Inputs!$B$21*12</x:f>
        <x:v>0</x:v>
      </x:c>
      <x:c r="H10" s="10" t="n">
        <x:f>IF(VLOOKUP($A10,Customer_Scenarios!$A$4:$T$16,13,FALSE)="24_7",$B10*Inputs!$B$22*12,0)</x:f>
        <x:v>40500</x:v>
      </x:c>
      <x:c r="I10" s="63" t="n">
        <x:f>0</x:f>
        <x:v>0</x:v>
      </x:c>
      <x:c r="J10" s="10" t="n">
        <x:f>12*IF(VLOOKUP($A10,Customer_Scenarios!$A$4:$T$16,15,FALSE)="Small",Inputs!$B$29,IF(VLOOKUP($A10,Customer_Scenarios!$A$4:$T$16,15,FALSE)="Mid",Inputs!$B$30,IF(VLOOKUP($A10,Customer_Scenarios!$A$4:$T$16,15,FALSE)="Large",Inputs!$B$31,0)))</x:f>
        <x:v>0</x:v>
      </x:c>
      <x:c r="K10" s="10" t="n">
        <x:f>IF(VLOOKUP($A10,Customer_Scenarios!$A$4:$T$16,16,FALSE)="Y",Inputs!$B$32,0)</x:f>
        <x:v>2600</x:v>
      </x:c>
      <x:c r="L10" s="10" t="n">
        <x:f>IF(VLOOKUP($A10,Customer_Scenarios!$A$4:$T$16,17,FALSE)="Read",Inputs!$B$33,IF(VLOOKUP($A10,Customer_Scenarios!$A$4:$T$16,17,FALSE)="ReadWrite",Inputs!$B$34,0))</x:f>
        <x:v>21500</x:v>
      </x:c>
      <x:c r="M10" s="10" t="n">
        <x:f t="shared" si="0"/>
        <x:v>353400</x:v>
      </x:c>
      <x:c r="N10" s="10" t="n">
        <x:f>IF(VLOOKUP($A10,Customer_Scenarios!$A$4:$T$16,18,FALSE)="Standard",$B10*Inputs!$B$49,IF(VLOOKUP($A10,Customer_Scenarios!$A$4:$T$16,18,FALSE)="Enterprise",$B10*Inputs!$B$50,0))</x:f>
        <x:v>20250</x:v>
      </x:c>
      <x:c r="O10" s="10" t="n">
        <x:f>$B10*Inputs!$B$48</x:f>
        <x:v>92250</x:v>
      </x:c>
      <x:c r="P10" s="10" t="n">
        <x:f>IF(VLOOKUP($A10,Customer_Scenarios!$A$4:$T$16,15,FALSE)="Small",Inputs!$B$26,IF(VLOOKUP($A10,Customer_Scenarios!$A$4:$T$16,15,FALSE)="Mid",Inputs!$B$27,IF(VLOOKUP($A10,Customer_Scenarios!$A$4:$T$16,15,FALSE)="Large",Inputs!$B$28,0)))</x:f>
        <x:v>0</x:v>
      </x:c>
      <x:c r="Q10" s="10" t="n">
        <x:f t="shared" si="1"/>
        <x:v>173000</x:v>
      </x:c>
      <x:c r="R10" s="10" t="n">
        <x:f t="shared" si="2"/>
        <x:v>526400</x:v>
      </x:c>
      <x:c r="S10" s="28" t="n">
        <x:f>IF($C10=1,1,IF($C10=2,1-Inputs!$B$35,IF($C10=3,1-Inputs!$B$36,1)))</x:f>
        <x:v>0.95</x:v>
      </x:c>
      <x:c r="T10" s="29" t="n">
        <x:f>VLOOKUP($B10,Inputs!$E$4:$G$6,3,TRUE)</x:f>
        <x:v>0.05</x:v>
      </x:c>
      <x:c r="U10" s="28" t="n">
        <x:f>IF($D10="Y",1-Inputs!$B$37,1)</x:f>
        <x:v>1</x:v>
      </x:c>
      <x:c r="V10" s="29" t="n">
        <x:f>MIN(1-($S10*(1-$T10)*$U10),Inputs!$B$38)</x:f>
        <x:v>0.09750000000000003</x:v>
      </x:c>
      <x:c r="W10" s="10" t="n">
        <x:f t="shared" si="3"/>
        <x:v>318943.5</x:v>
      </x:c>
      <x:c r="X10" s="10" t="n">
        <x:f t="shared" si="4"/>
        <x:v>491943.5</x:v>
      </x:c>
      <x:c r="Y10" s="10" t="n">
        <x:f>X10*(1+Inputs!$B$5)</x:f>
        <x:v>541137.8500000001</x:v>
      </x:c>
      <x:c r="Z10" s="10" t="n">
        <x:f>W10*(1+Inputs!$B$39)</x:f>
        <x:v>325322.37</x:v>
      </x:c>
      <x:c r="AA10" s="10" t="n">
        <x:f t="shared" si="5"/>
        <x:v>325322.37</x:v>
      </x:c>
      <x:c r="AB10" s="10" t="n">
        <x:f>Z10*(1+Inputs!$B$40)</x:f>
        <x:v>331828.8174</x:v>
      </x:c>
      <x:c r="AC10" s="10" t="n">
        <x:f t="shared" si="6"/>
        <x:v>331828.8174</x:v>
      </x:c>
      <x:c r="AD10" s="10" t="n">
        <x:f t="shared" si="7"/>
        <x:v>9838.87</x:v>
      </x:c>
      <x:c r="AE10" s="10" t="n">
        <x:f t="shared" si="8"/>
        <x:v>6506.4474</x:v>
      </x:c>
      <x:c r="AF10" s="10" t="n">
        <x:f t="shared" si="9"/>
        <x:v>6636.576348</x:v>
      </x:c>
    </x:row>
    <x:row r="11" ht="16" customHeight="1">
      <x:c r="A11" s="3" t="str">
        <x:v>Large_50_Premium</x:v>
      </x:c>
      <x:c r="B11" s="17" t="n">
        <x:f>VLOOKUP($A11,Customer_Scenarios!$A$4:$T$16,3,FALSE)</x:f>
        <x:v>45</x:v>
      </x:c>
      <x:c r="C11" s="27" t="n">
        <x:f>VLOOKUP($A11,Customer_Scenarios!$A$4:$T$16,4,FALSE)</x:f>
        <x:v>3</x:v>
      </x:c>
      <x:c r="D11" s="15" t="str">
        <x:f>VLOOKUP($A11,Customer_Scenarios!$A$4:$T$16,5,FALSE)</x:f>
        <x:v>N</x:v>
      </x:c>
      <x:c r="E11" s="10" t="n">
        <x:f>IF(Inputs!$B$14="Flat",$B11*Inputs!$B$15*(1+Inputs!$B$45)*12,((VLOOKUP($A11,Customer_Scenarios!$A$4:$T$16,6,FALSE))*Inputs!$B$16*(1+Inputs!$B$45)+(VLOOKUP($A11,Customer_Scenarios!$A$4:$T$16,7,FALSE))*Inputs!$B$17*(1+Inputs!$B$45)+(VLOOKUP($A11,Customer_Scenarios!$A$4:$T$16,8,FALSE))*Inputs!$B$18*(1+Inputs!$B$45)+(VLOOKUP($A11,Customer_Scenarios!$A$4:$T$16,9,FALSE))*Inputs!$B$19*(1+Inputs!$B$45))*12)</x:f>
        <x:v>232200</x:v>
      </x:c>
      <x:c r="F11" s="10" t="n">
        <x:f>MAX(VLOOKUP($A11,Customer_Scenarios!$A$4:$T$16,11,FALSE)-VLOOKUP($A11,Customer_Scenarios!$A$4:$T$16,12,FALSE),0)*Inputs!$B$20*12</x:f>
        <x:v>17160</x:v>
      </x:c>
      <x:c r="G11" s="10" t="n">
        <x:f>VLOOKUP($A11,Customer_Scenarios!$A$4:$T$16,12,FALSE)*Inputs!$B$21*12</x:f>
        <x:v>9600</x:v>
      </x:c>
      <x:c r="H11" s="10" t="n">
        <x:f>IF(VLOOKUP($A11,Customer_Scenarios!$A$4:$T$16,13,FALSE)="24_7",$B11*Inputs!$B$22*12,0)</x:f>
        <x:v>40500</x:v>
      </x:c>
      <x:c r="I11" s="63" t="n">
        <x:f>0</x:f>
        <x:v>0</x:v>
      </x:c>
      <x:c r="J11" s="10" t="n">
        <x:f>12*IF(VLOOKUP($A11,Customer_Scenarios!$A$4:$T$16,15,FALSE)="Small",Inputs!$B$29,IF(VLOOKUP($A11,Customer_Scenarios!$A$4:$T$16,15,FALSE)="Mid",Inputs!$B$30,IF(VLOOKUP($A11,Customer_Scenarios!$A$4:$T$16,15,FALSE)="Large",Inputs!$B$31,0)))</x:f>
        <x:v>123600</x:v>
      </x:c>
      <x:c r="K11" s="10" t="n">
        <x:f>IF(VLOOKUP($A11,Customer_Scenarios!$A$4:$T$16,16,FALSE)="Y",Inputs!$B$32,0)</x:f>
        <x:v>2600</x:v>
      </x:c>
      <x:c r="L11" s="10" t="n">
        <x:f>IF(VLOOKUP($A11,Customer_Scenarios!$A$4:$T$16,17,FALSE)="Read",Inputs!$B$33,IF(VLOOKUP($A11,Customer_Scenarios!$A$4:$T$16,17,FALSE)="ReadWrite",Inputs!$B$34,0))</x:f>
        <x:v>21500</x:v>
      </x:c>
      <x:c r="M11" s="10" t="n">
        <x:f t="shared" si="0"/>
        <x:v>501000</x:v>
      </x:c>
      <x:c r="N11" s="10" t="n">
        <x:f>IF(VLOOKUP($A11,Customer_Scenarios!$A$4:$T$16,18,FALSE)="Standard",$B11*Inputs!$B$49,IF(VLOOKUP($A11,Customer_Scenarios!$A$4:$T$16,18,FALSE)="Enterprise",$B11*Inputs!$B$50,0))</x:f>
        <x:v>30375</x:v>
      </x:c>
      <x:c r="O11" s="10" t="n">
        <x:f>$B11*Inputs!$B$48</x:f>
        <x:v>92250</x:v>
      </x:c>
      <x:c r="P11" s="10" t="n">
        <x:f>IF(VLOOKUP($A11,Customer_Scenarios!$A$4:$T$16,15,FALSE)="Small",Inputs!$B$26,IF(VLOOKUP($A11,Customer_Scenarios!$A$4:$T$16,15,FALSE)="Mid",Inputs!$B$27,IF(VLOOKUP($A11,Customer_Scenarios!$A$4:$T$16,15,FALSE)="Large",Inputs!$B$28,0)))</x:f>
        <x:v>77400</x:v>
      </x:c>
      <x:c r="Q11" s="10" t="n">
        <x:f t="shared" si="1"/>
        <x:v>275500</x:v>
      </x:c>
      <x:c r="R11" s="10" t="n">
        <x:f t="shared" si="2"/>
        <x:v>776500</x:v>
      </x:c>
      <x:c r="S11" s="28" t="n">
        <x:f>IF($C11=1,1,IF($C11=2,1-Inputs!$B$35,IF($C11=3,1-Inputs!$B$36,1)))</x:f>
        <x:v>0.9</x:v>
      </x:c>
      <x:c r="T11" s="29" t="n">
        <x:f>VLOOKUP($B11,Inputs!$E$4:$G$6,3,TRUE)</x:f>
        <x:v>0.05</x:v>
      </x:c>
      <x:c r="U11" s="28" t="n">
        <x:f>IF($D11="Y",1-Inputs!$B$37,1)</x:f>
        <x:v>1</x:v>
      </x:c>
      <x:c r="V11" s="29" t="n">
        <x:f>MIN(1-($S11*(1-$T11)*$U11),Inputs!$B$38)</x:f>
        <x:v>0.145</x:v>
      </x:c>
      <x:c r="W11" s="10" t="n">
        <x:f t="shared" si="3"/>
        <x:v>428355</x:v>
      </x:c>
      <x:c r="X11" s="10" t="n">
        <x:f t="shared" si="4"/>
        <x:v>703855</x:v>
      </x:c>
      <x:c r="Y11" s="10" t="n">
        <x:f>X11*(1+Inputs!$B$5)</x:f>
        <x:v>774240.5000000001</x:v>
      </x:c>
      <x:c r="Z11" s="10" t="n">
        <x:f>W11*(1+Inputs!$B$39)</x:f>
        <x:v>436922.10000000003</x:v>
      </x:c>
      <x:c r="AA11" s="10" t="n">
        <x:f t="shared" si="5"/>
        <x:v>436922.10000000003</x:v>
      </x:c>
      <x:c r="AB11" s="10" t="n">
        <x:f>Z11*(1+Inputs!$B$40)</x:f>
        <x:v>445660.542</x:v>
      </x:c>
      <x:c r="AC11" s="10" t="n">
        <x:f t="shared" si="6"/>
        <x:v>445660.542</x:v>
      </x:c>
      <x:c r="AD11" s="10" t="n">
        <x:f t="shared" si="7"/>
        <x:v>14077.1</x:v>
      </x:c>
      <x:c r="AE11" s="10" t="n">
        <x:f t="shared" si="8"/>
        <x:v>8738.442000000001</x:v>
      </x:c>
      <x:c r="AF11" s="10" t="n">
        <x:f t="shared" si="9"/>
        <x:v>8913.21084</x:v>
      </x:c>
    </x:row>
    <x:row r="12" ht="16" customHeight="1">
      <x:c r="A12" s="3" t="str">
        <x:v>Sens_10</x:v>
      </x:c>
      <x:c r="B12" s="17" t="n">
        <x:f>VLOOKUP($A12,Customer_Scenarios!$A$4:$T$16,3,FALSE)</x:f>
        <x:v>9</x:v>
      </x:c>
      <x:c r="C12" s="27" t="n">
        <x:f>VLOOKUP($A12,Customer_Scenarios!$A$4:$T$16,4,FALSE)</x:f>
        <x:v>1</x:v>
      </x:c>
      <x:c r="D12" s="15" t="str">
        <x:f>VLOOKUP($A12,Customer_Scenarios!$A$4:$T$16,5,FALSE)</x:f>
        <x:v>N</x:v>
      </x:c>
      <x:c r="E12" s="10" t="n">
        <x:f>IF(Inputs!$B$14="Flat",$B12*Inputs!$B$15*(1+Inputs!$B$45)*12,((VLOOKUP($A12,Customer_Scenarios!$A$4:$T$16,6,FALSE))*Inputs!$B$16*(1+Inputs!$B$45)+(VLOOKUP($A12,Customer_Scenarios!$A$4:$T$16,7,FALSE))*Inputs!$B$17*(1+Inputs!$B$45)+(VLOOKUP($A12,Customer_Scenarios!$A$4:$T$16,8,FALSE))*Inputs!$B$18*(1+Inputs!$B$45)+(VLOOKUP($A12,Customer_Scenarios!$A$4:$T$16,9,FALSE))*Inputs!$B$19*(1+Inputs!$B$45))*12)</x:f>
        <x:v>43320</x:v>
      </x:c>
      <x:c r="F12" s="10" t="n">
        <x:f>MAX(VLOOKUP($A12,Customer_Scenarios!$A$4:$T$16,11,FALSE)-VLOOKUP($A12,Customer_Scenarios!$A$4:$T$16,12,FALSE),0)*Inputs!$B$20*12</x:f>
        <x:v>0</x:v>
      </x:c>
      <x:c r="G12" s="10" t="n">
        <x:f>VLOOKUP($A12,Customer_Scenarios!$A$4:$T$16,12,FALSE)*Inputs!$B$21*12</x:f>
        <x:v>0</x:v>
      </x:c>
      <x:c r="H12" s="10" t="n">
        <x:f>IF(VLOOKUP($A12,Customer_Scenarios!$A$4:$T$16,13,FALSE)="24_7",$B12*Inputs!$B$22*12,0)</x:f>
        <x:v>0</x:v>
      </x:c>
      <x:c r="I12" s="63" t="n">
        <x:f>0</x:f>
        <x:v>0</x:v>
      </x:c>
      <x:c r="J12" s="10" t="n">
        <x:f>12*IF(VLOOKUP($A12,Customer_Scenarios!$A$4:$T$16,15,FALSE)="Small",Inputs!$B$29,IF(VLOOKUP($A12,Customer_Scenarios!$A$4:$T$16,15,FALSE)="Mid",Inputs!$B$30,IF(VLOOKUP($A12,Customer_Scenarios!$A$4:$T$16,15,FALSE)="Large",Inputs!$B$31,0)))</x:f>
        <x:v>0</x:v>
      </x:c>
      <x:c r="K12" s="10" t="n">
        <x:f>IF(VLOOKUP($A12,Customer_Scenarios!$A$4:$T$16,16,FALSE)="Y",Inputs!$B$32,0)</x:f>
        <x:v>0</x:v>
      </x:c>
      <x:c r="L12" s="10" t="n">
        <x:f>IF(VLOOKUP($A12,Customer_Scenarios!$A$4:$T$16,17,FALSE)="Read",Inputs!$B$33,IF(VLOOKUP($A12,Customer_Scenarios!$A$4:$T$16,17,FALSE)="ReadWrite",Inputs!$B$34,0))</x:f>
        <x:v>0</x:v>
      </x:c>
      <x:c r="M12" s="10" t="n">
        <x:f t="shared" si="0"/>
        <x:v>55440</x:v>
      </x:c>
      <x:c r="N12" s="10" t="n">
        <x:f>IF(VLOOKUP($A12,Customer_Scenarios!$A$4:$T$16,18,FALSE)="Standard",$B12*Inputs!$B$49,IF(VLOOKUP($A12,Customer_Scenarios!$A$4:$T$16,18,FALSE)="Enterprise",$B12*Inputs!$B$50,0))</x:f>
        <x:v>0</x:v>
      </x:c>
      <x:c r="O12" s="10" t="n">
        <x:f>$B12*Inputs!$B$48</x:f>
        <x:v>18450</x:v>
      </x:c>
      <x:c r="P12" s="10" t="n">
        <x:f>IF(VLOOKUP($A12,Customer_Scenarios!$A$4:$T$16,15,FALSE)="Small",Inputs!$B$26,IF(VLOOKUP($A12,Customer_Scenarios!$A$4:$T$16,15,FALSE)="Mid",Inputs!$B$27,IF(VLOOKUP($A12,Customer_Scenarios!$A$4:$T$16,15,FALSE)="Large",Inputs!$B$28,0)))</x:f>
        <x:v>0</x:v>
      </x:c>
      <x:c r="Q12" s="10" t="n">
        <x:f t="shared" si="1"/>
        <x:v>24000</x:v>
      </x:c>
      <x:c r="R12" s="10" t="n">
        <x:f t="shared" si="2"/>
        <x:v>79440</x:v>
      </x:c>
      <x:c r="S12" s="28" t="n">
        <x:f>IF($C12=1,1,IF($C12=2,1-Inputs!$B$35,IF($C12=3,1-Inputs!$B$36,1)))</x:f>
        <x:v>1</x:v>
      </x:c>
      <x:c r="T12" s="29" t="n">
        <x:f>VLOOKUP($B12,Inputs!$E$4:$G$6,3,TRUE)</x:f>
        <x:v>0</x:v>
      </x:c>
      <x:c r="U12" s="28" t="n">
        <x:f>IF($D12="Y",1-Inputs!$B$37,1)</x:f>
        <x:v>1</x:v>
      </x:c>
      <x:c r="V12" s="29" t="n">
        <x:f>MIN(1-($S12*(1-$T12)*$U12),Inputs!$B$38)</x:f>
        <x:v>0</x:v>
      </x:c>
      <x:c r="W12" s="10" t="n">
        <x:f t="shared" si="3"/>
        <x:v>55440</x:v>
      </x:c>
      <x:c r="X12" s="10" t="n">
        <x:f t="shared" si="4"/>
        <x:v>79440</x:v>
      </x:c>
      <x:c r="Y12" s="10" t="n">
        <x:f>X12*(1+Inputs!$B$5)</x:f>
        <x:v>87384</x:v>
      </x:c>
      <x:c r="Z12" s="10" t="n">
        <x:f>W12*(1+Inputs!$B$39)</x:f>
        <x:v>56548.8</x:v>
      </x:c>
      <x:c r="AA12" s="10" t="n">
        <x:f t="shared" si="5"/>
        <x:v>56548.8</x:v>
      </x:c>
      <x:c r="AB12" s="10" t="n">
        <x:f>Z12*(1+Inputs!$B$40)</x:f>
        <x:v>57679.776000000005</x:v>
      </x:c>
      <x:c r="AC12" s="10" t="n">
        <x:f t="shared" si="6"/>
        <x:v>57679.776000000005</x:v>
      </x:c>
      <x:c r="AD12" s="10" t="n">
        <x:f t="shared" si="7"/>
        <x:v>7944</x:v>
      </x:c>
      <x:c r="AE12" s="10" t="n">
        <x:f t="shared" si="8"/>
        <x:v>5654.88</x:v>
      </x:c>
      <x:c r="AF12" s="10" t="n">
        <x:f t="shared" si="9"/>
        <x:v>5767.9776</x:v>
      </x:c>
    </x:row>
    <x:row r="13" ht="16" customHeight="1">
      <x:c r="A13" s="3" t="str">
        <x:v>Sens_30</x:v>
      </x:c>
      <x:c r="B13" s="17" t="n">
        <x:f>VLOOKUP($A13,Customer_Scenarios!$A$4:$T$16,3,FALSE)</x:f>
        <x:v>27</x:v>
      </x:c>
      <x:c r="C13" s="27" t="n">
        <x:f>VLOOKUP($A13,Customer_Scenarios!$A$4:$T$16,4,FALSE)</x:f>
        <x:v>1</x:v>
      </x:c>
      <x:c r="D13" s="15" t="str">
        <x:f>VLOOKUP($A13,Customer_Scenarios!$A$4:$T$16,5,FALSE)</x:f>
        <x:v>N</x:v>
      </x:c>
      <x:c r="E13" s="10" t="n">
        <x:f>IF(Inputs!$B$14="Flat",$B13*Inputs!$B$15*(1+Inputs!$B$45)*12,((VLOOKUP($A13,Customer_Scenarios!$A$4:$T$16,6,FALSE))*Inputs!$B$16*(1+Inputs!$B$45)+(VLOOKUP($A13,Customer_Scenarios!$A$4:$T$16,7,FALSE))*Inputs!$B$17*(1+Inputs!$B$45)+(VLOOKUP($A13,Customer_Scenarios!$A$4:$T$16,8,FALSE))*Inputs!$B$18*(1+Inputs!$B$45)+(VLOOKUP($A13,Customer_Scenarios!$A$4:$T$16,9,FALSE))*Inputs!$B$19*(1+Inputs!$B$45))*12)</x:f>
        <x:v>131700</x:v>
      </x:c>
      <x:c r="F13" s="10" t="n">
        <x:f>MAX(VLOOKUP($A13,Customer_Scenarios!$A$4:$T$16,11,FALSE)-VLOOKUP($A13,Customer_Scenarios!$A$4:$T$16,12,FALSE),0)*Inputs!$B$20*12</x:f>
        <x:v>0</x:v>
      </x:c>
      <x:c r="G13" s="10" t="n">
        <x:f>VLOOKUP($A13,Customer_Scenarios!$A$4:$T$16,12,FALSE)*Inputs!$B$21*12</x:f>
        <x:v>0</x:v>
      </x:c>
      <x:c r="H13" s="10" t="n">
        <x:f>IF(VLOOKUP($A13,Customer_Scenarios!$A$4:$T$16,13,FALSE)="24_7",$B13*Inputs!$B$22*12,0)</x:f>
        <x:v>0</x:v>
      </x:c>
      <x:c r="I13" s="63" t="n">
        <x:f>0</x:f>
        <x:v>0</x:v>
      </x:c>
      <x:c r="J13" s="10" t="n">
        <x:f>12*IF(VLOOKUP($A13,Customer_Scenarios!$A$4:$T$16,15,FALSE)="Small",Inputs!$B$29,IF(VLOOKUP($A13,Customer_Scenarios!$A$4:$T$16,15,FALSE)="Mid",Inputs!$B$30,IF(VLOOKUP($A13,Customer_Scenarios!$A$4:$T$16,15,FALSE)="Large",Inputs!$B$31,0)))</x:f>
        <x:v>0</x:v>
      </x:c>
      <x:c r="K13" s="10" t="n">
        <x:f>IF(VLOOKUP($A13,Customer_Scenarios!$A$4:$T$16,16,FALSE)="Y",Inputs!$B$32,0)</x:f>
        <x:v>0</x:v>
      </x:c>
      <x:c r="L13" s="10" t="n">
        <x:f>IF(VLOOKUP($A13,Customer_Scenarios!$A$4:$T$16,17,FALSE)="Read",Inputs!$B$33,IF(VLOOKUP($A13,Customer_Scenarios!$A$4:$T$16,17,FALSE)="ReadWrite",Inputs!$B$34,0))</x:f>
        <x:v>0</x:v>
      </x:c>
      <x:c r="M13" s="10" t="n">
        <x:f t="shared" si="0"/>
        <x:v>164400</x:v>
      </x:c>
      <x:c r="N13" s="10" t="n">
        <x:f>IF(VLOOKUP($A13,Customer_Scenarios!$A$4:$T$16,18,FALSE)="Standard",$B13*Inputs!$B$49,IF(VLOOKUP($A13,Customer_Scenarios!$A$4:$T$16,18,FALSE)="Enterprise",$B13*Inputs!$B$50,0))</x:f>
        <x:v>0</x:v>
      </x:c>
      <x:c r="O13" s="10" t="n">
        <x:f>$B13*Inputs!$B$48</x:f>
        <x:v>55350</x:v>
      </x:c>
      <x:c r="P13" s="10" t="n">
        <x:f>IF(VLOOKUP($A13,Customer_Scenarios!$A$4:$T$16,15,FALSE)="Small",Inputs!$B$26,IF(VLOOKUP($A13,Customer_Scenarios!$A$4:$T$16,15,FALSE)="Mid",Inputs!$B$27,IF(VLOOKUP($A13,Customer_Scenarios!$A$4:$T$16,15,FALSE)="Large",Inputs!$B$28,0)))</x:f>
        <x:v>0</x:v>
      </x:c>
      <x:c r="Q13" s="10" t="n">
        <x:f t="shared" si="1"/>
        <x:v>72000</x:v>
      </x:c>
      <x:c r="R13" s="10" t="n">
        <x:f t="shared" si="2"/>
        <x:v>236400</x:v>
      </x:c>
      <x:c r="S13" s="28" t="n">
        <x:f>IF($C13=1,1,IF($C13=2,1-Inputs!$B$35,IF($C13=3,1-Inputs!$B$36,1)))</x:f>
        <x:v>1</x:v>
      </x:c>
      <x:c r="T13" s="29" t="n">
        <x:f>VLOOKUP($B13,Inputs!$E$4:$G$6,3,TRUE)</x:f>
        <x:v>0.05</x:v>
      </x:c>
      <x:c r="U13" s="28" t="n">
        <x:f>IF($D13="Y",1-Inputs!$B$37,1)</x:f>
        <x:v>1</x:v>
      </x:c>
      <x:c r="V13" s="29" t="n">
        <x:f>MIN(1-($S13*(1-$T13)*$U13),Inputs!$B$38)</x:f>
        <x:v>0.050000000000000044</x:v>
      </x:c>
      <x:c r="W13" s="10" t="n">
        <x:f t="shared" si="3"/>
        <x:v>156180</x:v>
      </x:c>
      <x:c r="X13" s="10" t="n">
        <x:f t="shared" si="4"/>
        <x:v>228180</x:v>
      </x:c>
      <x:c r="Y13" s="10" t="n">
        <x:f>X13*(1+Inputs!$B$5)</x:f>
        <x:v>250998.00000000003</x:v>
      </x:c>
      <x:c r="Z13" s="10" t="n">
        <x:f>W13*(1+Inputs!$B$39)</x:f>
        <x:v>159303.6</x:v>
      </x:c>
      <x:c r="AA13" s="10" t="n">
        <x:f t="shared" si="5"/>
        <x:v>159303.6</x:v>
      </x:c>
      <x:c r="AB13" s="10" t="n">
        <x:f>Z13*(1+Inputs!$B$40)</x:f>
        <x:v>162489.67200000002</x:v>
      </x:c>
      <x:c r="AC13" s="10" t="n">
        <x:f t="shared" si="6"/>
        <x:v>162489.67200000002</x:v>
      </x:c>
      <x:c r="AD13" s="10" t="n">
        <x:f t="shared" si="7"/>
        <x:v>7606</x:v>
      </x:c>
      <x:c r="AE13" s="10" t="n">
        <x:f t="shared" si="8"/>
        <x:v>5310.12</x:v>
      </x:c>
      <x:c r="AF13" s="10" t="n">
        <x:f t="shared" si="9"/>
        <x:v>5416.322400000001</x:v>
      </x:c>
    </x:row>
    <x:row r="14" ht="16" customHeight="1">
      <x:c r="A14" s="3" t="str">
        <x:v>Sens_50</x:v>
      </x:c>
      <x:c r="B14" s="17" t="n">
        <x:f>VLOOKUP($A14,Customer_Scenarios!$A$4:$T$16,3,FALSE)</x:f>
        <x:v>45</x:v>
      </x:c>
      <x:c r="C14" s="27" t="n">
        <x:f>VLOOKUP($A14,Customer_Scenarios!$A$4:$T$16,4,FALSE)</x:f>
        <x:v>1</x:v>
      </x:c>
      <x:c r="D14" s="15" t="str">
        <x:f>VLOOKUP($A14,Customer_Scenarios!$A$4:$T$16,5,FALSE)</x:f>
        <x:v>N</x:v>
      </x:c>
      <x:c r="E14" s="10" t="n">
        <x:f>IF(Inputs!$B$14="Flat",$B14*Inputs!$B$15*(1+Inputs!$B$45)*12,((VLOOKUP($A14,Customer_Scenarios!$A$4:$T$16,6,FALSE))*Inputs!$B$16*(1+Inputs!$B$45)+(VLOOKUP($A14,Customer_Scenarios!$A$4:$T$16,7,FALSE))*Inputs!$B$17*(1+Inputs!$B$45)+(VLOOKUP($A14,Customer_Scenarios!$A$4:$T$16,8,FALSE))*Inputs!$B$18*(1+Inputs!$B$45)+(VLOOKUP($A14,Customer_Scenarios!$A$4:$T$16,9,FALSE))*Inputs!$B$19*(1+Inputs!$B$45))*12)</x:f>
        <x:v>220080</x:v>
      </x:c>
      <x:c r="F14" s="10" t="n">
        <x:f>MAX(VLOOKUP($A14,Customer_Scenarios!$A$4:$T$16,11,FALSE)-VLOOKUP($A14,Customer_Scenarios!$A$4:$T$16,12,FALSE),0)*Inputs!$B$20*12</x:f>
        <x:v>0</x:v>
      </x:c>
      <x:c r="G14" s="10" t="n">
        <x:f>VLOOKUP($A14,Customer_Scenarios!$A$4:$T$16,12,FALSE)*Inputs!$B$21*12</x:f>
        <x:v>0</x:v>
      </x:c>
      <x:c r="H14" s="10" t="n">
        <x:f>IF(VLOOKUP($A14,Customer_Scenarios!$A$4:$T$16,13,FALSE)="24_7",$B14*Inputs!$B$22*12,0)</x:f>
        <x:v>0</x:v>
      </x:c>
      <x:c r="I14" s="63" t="n">
        <x:f>0</x:f>
        <x:v>0</x:v>
      </x:c>
      <x:c r="J14" s="10" t="n">
        <x:f>12*IF(VLOOKUP($A14,Customer_Scenarios!$A$4:$T$16,15,FALSE)="Small",Inputs!$B$29,IF(VLOOKUP($A14,Customer_Scenarios!$A$4:$T$16,15,FALSE)="Mid",Inputs!$B$30,IF(VLOOKUP($A14,Customer_Scenarios!$A$4:$T$16,15,FALSE)="Large",Inputs!$B$31,0)))</x:f>
        <x:v>0</x:v>
      </x:c>
      <x:c r="K14" s="10" t="n">
        <x:f>IF(VLOOKUP($A14,Customer_Scenarios!$A$4:$T$16,16,FALSE)="Y",Inputs!$B$32,0)</x:f>
        <x:v>0</x:v>
      </x:c>
      <x:c r="L14" s="10" t="n">
        <x:f>IF(VLOOKUP($A14,Customer_Scenarios!$A$4:$T$16,17,FALSE)="Read",Inputs!$B$33,IF(VLOOKUP($A14,Customer_Scenarios!$A$4:$T$16,17,FALSE)="ReadWrite",Inputs!$B$34,0))</x:f>
        <x:v>0</x:v>
      </x:c>
      <x:c r="M14" s="10" t="n">
        <x:f t="shared" si="0"/>
        <x:v>273360</x:v>
      </x:c>
      <x:c r="N14" s="10" t="n">
        <x:f>IF(VLOOKUP($A14,Customer_Scenarios!$A$4:$T$16,18,FALSE)="Standard",$B14*Inputs!$B$49,IF(VLOOKUP($A14,Customer_Scenarios!$A$4:$T$16,18,FALSE)="Enterprise",$B14*Inputs!$B$50,0))</x:f>
        <x:v>0</x:v>
      </x:c>
      <x:c r="O14" s="10" t="n">
        <x:f>$B14*Inputs!$B$48</x:f>
        <x:v>92250</x:v>
      </x:c>
      <x:c r="P14" s="10" t="n">
        <x:f>IF(VLOOKUP($A14,Customer_Scenarios!$A$4:$T$16,15,FALSE)="Small",Inputs!$B$26,IF(VLOOKUP($A14,Customer_Scenarios!$A$4:$T$16,15,FALSE)="Mid",Inputs!$B$27,IF(VLOOKUP($A14,Customer_Scenarios!$A$4:$T$16,15,FALSE)="Large",Inputs!$B$28,0)))</x:f>
        <x:v>0</x:v>
      </x:c>
      <x:c r="Q14" s="10" t="n">
        <x:f t="shared" si="1"/>
        <x:v>120000</x:v>
      </x:c>
      <x:c r="R14" s="10" t="n">
        <x:f t="shared" si="2"/>
        <x:v>393360</x:v>
      </x:c>
      <x:c r="S14" s="28" t="n">
        <x:f>IF($C14=1,1,IF($C14=2,1-Inputs!$B$35,IF($C14=3,1-Inputs!$B$36,1)))</x:f>
        <x:v>1</x:v>
      </x:c>
      <x:c r="T14" s="29" t="n">
        <x:f>VLOOKUP($B14,Inputs!$E$4:$G$6,3,TRUE)</x:f>
        <x:v>0.05</x:v>
      </x:c>
      <x:c r="U14" s="28" t="n">
        <x:f>IF($D14="Y",1-Inputs!$B$37,1)</x:f>
        <x:v>1</x:v>
      </x:c>
      <x:c r="V14" s="29" t="n">
        <x:f>MIN(1-($S14*(1-$T14)*$U14),Inputs!$B$38)</x:f>
        <x:v>0.050000000000000044</x:v>
      </x:c>
      <x:c r="W14" s="10" t="n">
        <x:f t="shared" si="3"/>
        <x:v>259692</x:v>
      </x:c>
      <x:c r="X14" s="10" t="n">
        <x:f t="shared" si="4"/>
        <x:v>379692</x:v>
      </x:c>
      <x:c r="Y14" s="10" t="n">
        <x:f>X14*(1+Inputs!$B$5)</x:f>
        <x:v>417661.2</x:v>
      </x:c>
      <x:c r="Z14" s="10" t="n">
        <x:f>W14*(1+Inputs!$B$39)</x:f>
        <x:v>264885.84</x:v>
      </x:c>
      <x:c r="AA14" s="10" t="n">
        <x:f t="shared" si="5"/>
        <x:v>264885.84</x:v>
      </x:c>
      <x:c r="AB14" s="10" t="n">
        <x:f>Z14*(1+Inputs!$B$40)</x:f>
        <x:v>270183.5568</x:v>
      </x:c>
      <x:c r="AC14" s="10" t="n">
        <x:f t="shared" si="6"/>
        <x:v>270183.5568</x:v>
      </x:c>
      <x:c r="AD14" s="10" t="n">
        <x:f t="shared" si="7"/>
        <x:v>7593.84</x:v>
      </x:c>
      <x:c r="AE14" s="10" t="n">
        <x:f t="shared" si="8"/>
        <x:v>5297.7168</x:v>
      </x:c>
      <x:c r="AF14" s="10" t="n">
        <x:f t="shared" si="9"/>
        <x:v>5403.671136000001</x:v>
      </x:c>
    </x:row>
    <x:row r="15" ht="16" customHeight="1">
      <x:c r="A15" s="3" t="str">
        <x:v>Sens_100</x:v>
      </x:c>
      <x:c r="B15" s="17" t="n">
        <x:f>VLOOKUP($A15,Customer_Scenarios!$A$4:$T$16,3,FALSE)</x:f>
        <x:v>90</x:v>
      </x:c>
      <x:c r="C15" s="27" t="n">
        <x:f>VLOOKUP($A15,Customer_Scenarios!$A$4:$T$16,4,FALSE)</x:f>
        <x:v>1</x:v>
      </x:c>
      <x:c r="D15" s="15" t="str">
        <x:f>VLOOKUP($A15,Customer_Scenarios!$A$4:$T$16,5,FALSE)</x:f>
        <x:v>N</x:v>
      </x:c>
      <x:c r="E15" s="10" t="n">
        <x:f>IF(Inputs!$B$14="Flat",$B15*Inputs!$B$15*(1+Inputs!$B$45)*12,((VLOOKUP($A15,Customer_Scenarios!$A$4:$T$16,6,FALSE))*Inputs!$B$16*(1+Inputs!$B$45)+(VLOOKUP($A15,Customer_Scenarios!$A$4:$T$16,7,FALSE))*Inputs!$B$17*(1+Inputs!$B$45)+(VLOOKUP($A15,Customer_Scenarios!$A$4:$T$16,8,FALSE))*Inputs!$B$18*(1+Inputs!$B$45)+(VLOOKUP($A15,Customer_Scenarios!$A$4:$T$16,9,FALSE))*Inputs!$B$19*(1+Inputs!$B$45))*12)</x:f>
        <x:v>441240</x:v>
      </x:c>
      <x:c r="F15" s="10" t="n">
        <x:f>MAX(VLOOKUP($A15,Customer_Scenarios!$A$4:$T$16,11,FALSE)-VLOOKUP($A15,Customer_Scenarios!$A$4:$T$16,12,FALSE),0)*Inputs!$B$20*12</x:f>
        <x:v>0</x:v>
      </x:c>
      <x:c r="G15" s="10" t="n">
        <x:f>VLOOKUP($A15,Customer_Scenarios!$A$4:$T$16,12,FALSE)*Inputs!$B$21*12</x:f>
        <x:v>0</x:v>
      </x:c>
      <x:c r="H15" s="10" t="n">
        <x:f>IF(VLOOKUP($A15,Customer_Scenarios!$A$4:$T$16,13,FALSE)="24_7",$B15*Inputs!$B$22*12,0)</x:f>
        <x:v>0</x:v>
      </x:c>
      <x:c r="I15" s="63" t="n">
        <x:f>0</x:f>
        <x:v>0</x:v>
      </x:c>
      <x:c r="J15" s="10" t="n">
        <x:f>12*IF(VLOOKUP($A15,Customer_Scenarios!$A$4:$T$16,15,FALSE)="Small",Inputs!$B$29,IF(VLOOKUP($A15,Customer_Scenarios!$A$4:$T$16,15,FALSE)="Mid",Inputs!$B$30,IF(VLOOKUP($A15,Customer_Scenarios!$A$4:$T$16,15,FALSE)="Large",Inputs!$B$31,0)))</x:f>
        <x:v>0</x:v>
      </x:c>
      <x:c r="K15" s="10" t="n">
        <x:f>IF(VLOOKUP($A15,Customer_Scenarios!$A$4:$T$16,16,FALSE)="Y",Inputs!$B$32,0)</x:f>
        <x:v>0</x:v>
      </x:c>
      <x:c r="L15" s="10" t="n">
        <x:f>IF(VLOOKUP($A15,Customer_Scenarios!$A$4:$T$16,17,FALSE)="Read",Inputs!$B$33,IF(VLOOKUP($A15,Customer_Scenarios!$A$4:$T$16,17,FALSE)="ReadWrite",Inputs!$B$34,0))</x:f>
        <x:v>0</x:v>
      </x:c>
      <x:c r="M15" s="10" t="n">
        <x:f t="shared" si="0"/>
        <x:v>544800</x:v>
      </x:c>
      <x:c r="N15" s="10" t="n">
        <x:f>IF(VLOOKUP($A15,Customer_Scenarios!$A$4:$T$16,18,FALSE)="Standard",$B15*Inputs!$B$49,IF(VLOOKUP($A15,Customer_Scenarios!$A$4:$T$16,18,FALSE)="Enterprise",$B15*Inputs!$B$50,0))</x:f>
        <x:v>0</x:v>
      </x:c>
      <x:c r="O15" s="10" t="n">
        <x:f>$B15*Inputs!$B$48</x:f>
        <x:v>184500</x:v>
      </x:c>
      <x:c r="P15" s="10" t="n">
        <x:f>IF(VLOOKUP($A15,Customer_Scenarios!$A$4:$T$16,15,FALSE)="Small",Inputs!$B$26,IF(VLOOKUP($A15,Customer_Scenarios!$A$4:$T$16,15,FALSE)="Mid",Inputs!$B$27,IF(VLOOKUP($A15,Customer_Scenarios!$A$4:$T$16,15,FALSE)="Large",Inputs!$B$28,0)))</x:f>
        <x:v>0</x:v>
      </x:c>
      <x:c r="Q15" s="10" t="n">
        <x:f t="shared" si="1"/>
        <x:v>240000</x:v>
      </x:c>
      <x:c r="R15" s="10" t="n">
        <x:f t="shared" si="2"/>
        <x:v>784800</x:v>
      </x:c>
      <x:c r="S15" s="28" t="n">
        <x:f>IF($C15=1,1,IF($C15=2,1-Inputs!$B$35,IF($C15=3,1-Inputs!$B$36,1)))</x:f>
        <x:v>1</x:v>
      </x:c>
      <x:c r="T15" s="29" t="n">
        <x:f>VLOOKUP($B15,Inputs!$E$4:$G$6,3,TRUE)</x:f>
        <x:v>0.1</x:v>
      </x:c>
      <x:c r="U15" s="28" t="n">
        <x:f>IF($D15="Y",1-Inputs!$B$37,1)</x:f>
        <x:v>1</x:v>
      </x:c>
      <x:c r="V15" s="29" t="n">
        <x:f>MIN(1-($S15*(1-$T15)*$U15),Inputs!$B$38)</x:f>
        <x:v>0.09999999999999998</x:v>
      </x:c>
      <x:c r="W15" s="10" t="n">
        <x:f t="shared" si="3"/>
        <x:v>517560</x:v>
      </x:c>
      <x:c r="X15" s="10" t="n">
        <x:f t="shared" si="4"/>
        <x:v>757560</x:v>
      </x:c>
      <x:c r="Y15" s="10" t="n">
        <x:f>X15*(1+Inputs!$B$5)</x:f>
        <x:v>833316.0000000001</x:v>
      </x:c>
      <x:c r="Z15" s="10" t="n">
        <x:f>W15*(1+Inputs!$B$39)</x:f>
        <x:v>527911.2</x:v>
      </x:c>
      <x:c r="AA15" s="10" t="n">
        <x:f t="shared" si="5"/>
        <x:v>527911.2</x:v>
      </x:c>
      <x:c r="AB15" s="10" t="n">
        <x:f>Z15*(1+Inputs!$B$40)</x:f>
        <x:v>538469.424</x:v>
      </x:c>
      <x:c r="AC15" s="10" t="n">
        <x:f t="shared" si="6"/>
        <x:v>538469.424</x:v>
      </x:c>
      <x:c r="AD15" s="10" t="n">
        <x:f t="shared" si="7"/>
        <x:v>7575.6</x:v>
      </x:c>
      <x:c r="AE15" s="10" t="n">
        <x:f t="shared" si="8"/>
        <x:v>5279.111999999999</x:v>
      </x:c>
      <x:c r="AF15" s="10" t="n">
        <x:f t="shared" si="9"/>
        <x:v>5384.69424</x:v>
      </x:c>
    </x:row>
    <x:row r="16" ht="16" customHeight="1">
      <x:c r="A16" s="3" t="str">
        <x:v>Sens_200</x:v>
      </x:c>
      <x:c r="B16" s="17" t="n">
        <x:f>VLOOKUP($A16,Customer_Scenarios!$A$4:$T$16,3,FALSE)</x:f>
        <x:v>180</x:v>
      </x:c>
      <x:c r="C16" s="27" t="n">
        <x:f>VLOOKUP($A16,Customer_Scenarios!$A$4:$T$16,4,FALSE)</x:f>
        <x:v>1</x:v>
      </x:c>
      <x:c r="D16" s="15" t="str">
        <x:f>VLOOKUP($A16,Customer_Scenarios!$A$4:$T$16,5,FALSE)</x:f>
        <x:v>N</x:v>
      </x:c>
      <x:c r="E16" s="10" t="n">
        <x:f>IF(Inputs!$B$14="Flat",$B16*Inputs!$B$15*(1+Inputs!$B$45)*12,((VLOOKUP($A16,Customer_Scenarios!$A$4:$T$16,6,FALSE))*Inputs!$B$16*(1+Inputs!$B$45)+(VLOOKUP($A16,Customer_Scenarios!$A$4:$T$16,7,FALSE))*Inputs!$B$17*(1+Inputs!$B$45)+(VLOOKUP($A16,Customer_Scenarios!$A$4:$T$16,8,FALSE))*Inputs!$B$18*(1+Inputs!$B$45)+(VLOOKUP($A16,Customer_Scenarios!$A$4:$T$16,9,FALSE))*Inputs!$B$19*(1+Inputs!$B$45))*12)</x:f>
        <x:v>880740</x:v>
      </x:c>
      <x:c r="F16" s="10" t="n">
        <x:f>MAX(VLOOKUP($A16,Customer_Scenarios!$A$4:$T$16,11,FALSE)-VLOOKUP($A16,Customer_Scenarios!$A$4:$T$16,12,FALSE),0)*Inputs!$B$20*12</x:f>
        <x:v>0</x:v>
      </x:c>
      <x:c r="G16" s="10" t="n">
        <x:f>VLOOKUP($A16,Customer_Scenarios!$A$4:$T$16,12,FALSE)*Inputs!$B$21*12</x:f>
        <x:v>0</x:v>
      </x:c>
      <x:c r="H16" s="10" t="n">
        <x:f>IF(VLOOKUP($A16,Customer_Scenarios!$A$4:$T$16,13,FALSE)="24_7",$B16*Inputs!$B$22*12,0)</x:f>
        <x:v>0</x:v>
      </x:c>
      <x:c r="I16" s="63" t="n">
        <x:f>0</x:f>
        <x:v>0</x:v>
      </x:c>
      <x:c r="J16" s="10" t="n">
        <x:f>12*IF(VLOOKUP($A16,Customer_Scenarios!$A$4:$T$16,15,FALSE)="Small",Inputs!$B$29,IF(VLOOKUP($A16,Customer_Scenarios!$A$4:$T$16,15,FALSE)="Mid",Inputs!$B$30,IF(VLOOKUP($A16,Customer_Scenarios!$A$4:$T$16,15,FALSE)="Large",Inputs!$B$31,0)))</x:f>
        <x:v>0</x:v>
      </x:c>
      <x:c r="K16" s="10" t="n">
        <x:f>IF(VLOOKUP($A16,Customer_Scenarios!$A$4:$T$16,16,FALSE)="Y",Inputs!$B$32,0)</x:f>
        <x:v>0</x:v>
      </x:c>
      <x:c r="L16" s="10" t="n">
        <x:f>IF(VLOOKUP($A16,Customer_Scenarios!$A$4:$T$16,17,FALSE)="Read",Inputs!$B$33,IF(VLOOKUP($A16,Customer_Scenarios!$A$4:$T$16,17,FALSE)="ReadWrite",Inputs!$B$34,0))</x:f>
        <x:v>0</x:v>
      </x:c>
      <x:c r="M16" s="10" t="n">
        <x:f t="shared" si="0"/>
        <x:v>1089600</x:v>
      </x:c>
      <x:c r="N16" s="10" t="n">
        <x:f>IF(VLOOKUP($A16,Customer_Scenarios!$A$4:$T$16,18,FALSE)="Standard",$B16*Inputs!$B$49,IF(VLOOKUP($A16,Customer_Scenarios!$A$4:$T$16,18,FALSE)="Enterprise",$B16*Inputs!$B$50,0))</x:f>
        <x:v>0</x:v>
      </x:c>
      <x:c r="O16" s="10" t="n">
        <x:f>$B16*Inputs!$B$48</x:f>
        <x:v>369000</x:v>
      </x:c>
      <x:c r="P16" s="10" t="n">
        <x:f>IF(VLOOKUP($A16,Customer_Scenarios!$A$4:$T$16,15,FALSE)="Small",Inputs!$B$26,IF(VLOOKUP($A16,Customer_Scenarios!$A$4:$T$16,15,FALSE)="Mid",Inputs!$B$27,IF(VLOOKUP($A16,Customer_Scenarios!$A$4:$T$16,15,FALSE)="Large",Inputs!$B$28,0)))</x:f>
        <x:v>0</x:v>
      </x:c>
      <x:c r="Q16" s="10" t="n">
        <x:f t="shared" si="1"/>
        <x:v>480000</x:v>
      </x:c>
      <x:c r="R16" s="10" t="n">
        <x:f t="shared" si="2"/>
        <x:v>1569600</x:v>
      </x:c>
      <x:c r="S16" s="28" t="n">
        <x:f>IF($C16=1,1,IF($C16=2,1-Inputs!$B$35,IF($C16=3,1-Inputs!$B$36,1)))</x:f>
        <x:v>1</x:v>
      </x:c>
      <x:c r="T16" s="29" t="n">
        <x:f>VLOOKUP($B16,Inputs!$E$4:$G$6,3,TRUE)</x:f>
        <x:v>0.1</x:v>
      </x:c>
      <x:c r="U16" s="28" t="n">
        <x:f>IF($D16="Y",1-Inputs!$B$37,1)</x:f>
        <x:v>1</x:v>
      </x:c>
      <x:c r="V16" s="29" t="n">
        <x:f>MIN(1-($S16*(1-$T16)*$U16),Inputs!$B$38)</x:f>
        <x:v>0.09999999999999998</x:v>
      </x:c>
      <x:c r="W16" s="10" t="n">
        <x:f t="shared" si="3"/>
        <x:v>980640</x:v>
      </x:c>
      <x:c r="X16" s="10" t="n">
        <x:f t="shared" si="4"/>
        <x:v>1460640</x:v>
      </x:c>
      <x:c r="Y16" s="10" t="n">
        <x:f>X16*(1+Inputs!$B$5)</x:f>
        <x:v>1606704.0000000002</x:v>
      </x:c>
      <x:c r="Z16" s="10" t="n">
        <x:f>W16*(1+Inputs!$B$39)</x:f>
        <x:v>1000252.8</x:v>
      </x:c>
      <x:c r="AA16" s="10" t="n">
        <x:f t="shared" si="5"/>
        <x:v>1000252.8</x:v>
      </x:c>
      <x:c r="AB16" s="10" t="n">
        <x:f>Z16*(1+Inputs!$B$40)</x:f>
        <x:v>1020257.856</x:v>
      </x:c>
      <x:c r="AC16" s="10" t="n">
        <x:f t="shared" si="6"/>
        <x:v>1020257.856</x:v>
      </x:c>
      <x:c r="AD16" s="10" t="n">
        <x:f t="shared" si="7"/>
        <x:v>7303.2</x:v>
      </x:c>
      <x:c r="AE16" s="10" t="n">
        <x:f t="shared" si="8"/>
        <x:v>5001.264</x:v>
      </x:c>
      <x:c r="AF16" s="10" t="n">
        <x:f t="shared" si="9"/>
        <x:v>5101.28928</x:v>
      </x:c>
    </x:row>
    <x:row r="17">
      <x:c r="I17" s="64"/>
    </x:row>
    <x:row r="18">
      <x:c r="I18" s="64"/>
    </x:row>
    <x:row r="19">
      <x:c r="I19" s="64"/>
    </x:row>
    <x:row r="20">
      <x:c r="I20" s="64"/>
    </x:row>
    <x:row r="21">
      <x:c r="I21" s="64"/>
    </x:row>
  </x:sheetData>
  <x:mergeCells>
    <x:mergeCell ref="A2:AG2"/>
    <x:mergeCell ref="A1:A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83203125" defaultRowHeight="15"/>
  <x:cols>
    <x:col min="1" max="1" width="35" style="36" customWidth="1"/>
    <x:col min="2" max="2" width="12.1640625" style="36" customWidth="1"/>
    <x:col min="3" max="3" width="13.1640625" style="36" customWidth="1"/>
    <x:col min="4" max="4" width="9" style="36" customWidth="1"/>
    <x:col min="5" max="5" width="8.83203125" style="36" customWidth="1"/>
    <x:col min="6" max="6" width="10" style="36" customWidth="1"/>
    <x:col min="7" max="7" width="34.33203125" style="36" customWidth="1"/>
    <x:col min="8" max="8" width="17.6640625" style="36" customWidth="1"/>
    <x:col min="9" max="9" width="19.1640625" style="36" customWidth="1"/>
    <x:col min="10" max="10" width="24.33203125" style="36" customWidth="1"/>
    <x:col min="11" max="11" width="14.5" style="36" customWidth="1"/>
    <x:col min="12" max="12" width="21.1640625" style="36" customWidth="1"/>
    <x:col min="13" max="13" width="9.1640625" style="36" customWidth="1"/>
    <x:col min="14" max="14" width="8" style="36" customWidth="1"/>
    <x:col min="15" max="16" width="8.83203125" style="36" customWidth="1"/>
    <x:col min="17" max="16384" width="8.83203125" style="36" customWidth="0"/>
  </x:cols>
  <x:sheetData>
    <x:row r="1" ht="19" customHeight="1">
      <x:c r="A1" s="111" t="str">
        <x:v>Breakeven, Sensitivity &amp; Unit Economics</x:v>
      </x:c>
      <x:c r="B1" s="102"/>
      <x:c r="C1" s="102"/>
      <x:c r="D1" s="102"/>
      <x:c r="E1" s="102"/>
      <x:c r="F1" s="102"/>
      <x:c r="G1" s="102"/>
      <x:c r="H1" s="102"/>
      <x:c r="I1" s="102"/>
      <x:c r="J1" s="102"/>
      <x:c r="K1" s="102"/>
      <x:c r="L1" s="102"/>
      <x:c r="M1" s="102"/>
      <x:c r="N1" s="102"/>
    </x:row>
    <x:row r="2">
      <x:c r="A2" s="97" t="str">
        <x:v>Blue cells are inputs (portfolio counts). Everything else is calculated.</x:v>
      </x:c>
      <x:c r="B2" s="102"/>
      <x:c r="C2" s="102"/>
      <x:c r="D2" s="102"/>
      <x:c r="E2" s="102"/>
      <x:c r="F2" s="102"/>
      <x:c r="G2" s="102"/>
      <x:c r="H2" s="102"/>
      <x:c r="I2" s="102"/>
      <x:c r="J2" s="102"/>
      <x:c r="K2" s="102"/>
      <x:c r="L2" s="102"/>
      <x:c r="M2" s="102"/>
      <x:c r="N2" s="10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</x:row>
    <x:row r="4" ht="15" customHeight="1">
      <x:c r="A4" s="101" t="str">
        <x:v>Key Breakeven Metrics</x:v>
      </x:c>
      <x:c r="B4" s="102"/>
      <x:c r="C4" s="102"/>
      <x:c r="D4" s="102"/>
      <x:c r="E4" s="102"/>
      <x:c r="F4"/>
      <x:c r="G4" s="101" t="str">
        <x:v>Portfolio ROI (User-defined mix)</x:v>
      </x:c>
      <x:c r="H4" s="102"/>
      <x:c r="I4" s="102"/>
      <x:c r="J4" s="102"/>
      <x:c r="K4" s="102"/>
      <x:c r="L4" s="102"/>
      <x:c r="M4" s="102"/>
      <x:c r="N4" s="102"/>
    </x:row>
    <x:row r="5" ht="16" customHeight="1">
      <x:c r="A5" s="37" t="str">
        <x:v>Typical ARPU (Net, Y1) — Typical_30</x:v>
      </x:c>
      <x:c r="B5" s="38" t="n">
        <x:f>VLOOKUP("Typical_30",Pricing_Model!$A$4:$AF$16,30,FALSE)</x:f>
        <x:v>8994.133333333333</x:v>
      </x:c>
      <x:c r="C5" s="37" t="str">
        <x:v>USD/user/year</x:v>
      </x:c>
      <x:c r="D5"/>
      <x:c r="E5"/>
      <x:c r="F5"/>
      <x:c r="G5" s="2" t="str">
        <x:v>Input: #operators</x:v>
      </x:c>
      <x:c r="H5" s="2" t="str">
        <x:v>Scenario</x:v>
      </x:c>
      <x:c r="I5" s="2" t="str">
        <x:v>Users/operator</x:v>
      </x:c>
      <x:c r="J5" s="2" t="str">
        <x:v>Recurring Net Y1/operator</x:v>
      </x:c>
      <x:c r="K5" s="105" t="str">
        <x:v>Total Users</x:v>
      </x:c>
      <x:c r="L5" s="104"/>
      <x:c r="M5" s="107" t="str">
        <x:v>Total Recurring Net Y1</x:v>
      </x:c>
      <x:c r="N5" s="102"/>
    </x:row>
    <x:row r="6" ht="16" customHeight="1">
      <x:c r="A6" s="3" t="str">
        <x:v>Breakeven users (Current burn)</x:v>
      </x:c>
      <x:c r="B6" s="10" t="n">
        <x:f>Inputs!$B$8/$B$5</x:f>
        <x:v>105.84677419354838</x:v>
      </x:c>
      <x:c r="C6" s="31" t="str">
        <x:v>users</x:v>
      </x:c>
      <x:c r="D6"/>
      <x:c r="E6"/>
      <x:c r="F6"/>
      <x:c r="G6" s="32" t="n">
        <x:v>12</x:v>
      </x:c>
      <x:c r="H6" s="3" t="str">
        <x:v>Small_15_Core</x:v>
      </x:c>
      <x:c r="I6" s="10" t="n">
        <x:f>VLOOKUP(H6,Customer_Scenarios!$A$4:$T$16,3,FALSE)</x:f>
        <x:v>14</x:v>
      </x:c>
      <x:c r="J6" s="10" t="n">
        <x:f>VLOOKUP(H6,Pricing_Model!$A$4:$AF$16,23,FALSE)</x:f>
        <x:v>80712</x:v>
      </x:c>
      <x:c r="K6" s="103" t="n">
        <x:f>G6*I6</x:f>
        <x:v>168</x:v>
      </x:c>
      <x:c r="L6" s="104"/>
      <x:c r="M6" s="106" t="n">
        <x:f>G6*J6</x:f>
        <x:v>968544</x:v>
      </x:c>
      <x:c r="N6" s="102"/>
    </x:row>
    <x:row r="7" ht="16" customHeight="1">
      <x:c r="A7" s="3" t="str">
        <x:v>Breakeven users (Stage B)</x:v>
      </x:c>
      <x:c r="B7" s="10" t="n">
        <x:f>Inputs!$B$10/$B$5</x:f>
        <x:v>191.34695208728652</x:v>
      </x:c>
      <x:c r="C7" s="31" t="str">
        <x:v>users</x:v>
      </x:c>
      <x:c r="D7"/>
      <x:c r="E7"/>
      <x:c r="F7"/>
      <x:c r="G7" s="32" t="n">
        <x:v>4</x:v>
      </x:c>
      <x:c r="H7" s="3" t="str">
        <x:v>Typical_30</x:v>
      </x:c>
      <x:c r="I7" s="10" t="n">
        <x:f>VLOOKUP(H7,Customer_Scenarios!$A$4:$T$16,3,FALSE)</x:f>
        <x:v>27</x:v>
      </x:c>
      <x:c r="J7" s="10" t="n">
        <x:f>VLOOKUP(H7,Pricing_Model!$A$4:$AF$16,23,FALSE)</x:f>
        <x:v>172824</x:v>
      </x:c>
      <x:c r="K7" s="103" t="n">
        <x:f>G7*I7</x:f>
        <x:v>108</x:v>
      </x:c>
      <x:c r="L7" s="104"/>
      <x:c r="M7" s="106" t="n">
        <x:f>G7*J7</x:f>
        <x:v>691296</x:v>
      </x:c>
      <x:c r="N7" s="102"/>
    </x:row>
    <x:row r="8" ht="16" customHeight="1">
      <x:c r="A8" s="3" t="str">
        <x:v>Breakeven users (Stage C)</x:v>
      </x:c>
      <x:c r="B8" s="10" t="n">
        <x:f>Inputs!$B$11/$B$5</x:f>
        <x:v>235.59801944971537</x:v>
      </x:c>
      <x:c r="C8" s="31" t="str">
        <x:v>users</x:v>
      </x:c>
      <x:c r="D8"/>
      <x:c r="E8"/>
      <x:c r="F8"/>
      <x:c r="G8" s="32" t="n">
        <x:v>4</x:v>
      </x:c>
      <x:c r="H8" s="3" t="str">
        <x:v>Large_50_Core</x:v>
      </x:c>
      <x:c r="I8" s="10" t="n">
        <x:f>VLOOKUP(H8,Customer_Scenarios!$A$4:$T$16,3,FALSE)</x:f>
        <x:v>45</x:v>
      </x:c>
      <x:c r="J8" s="10" t="n">
        <x:f>VLOOKUP(H8,Pricing_Model!$A$4:$AF$16,23,FALSE)</x:f>
        <x:v>292951.5</x:v>
      </x:c>
      <x:c r="K8" s="103" t="n">
        <x:f>G8*I8</x:f>
        <x:v>180</x:v>
      </x:c>
      <x:c r="L8" s="104"/>
      <x:c r="M8" s="106" t="n">
        <x:f>G8*J8</x:f>
        <x:v>1171806</x:v>
      </x:c>
      <x:c r="N8" s="102"/>
    </x:row>
    <x:row r="9" ht="16" customHeight="1">
      <x:c r="A9"/>
      <x:c r="B9"/>
      <x:c r="C9"/>
      <x:c r="D9"/>
      <x:c r="E9"/>
      <x:c r="F9"/>
      <x:c r="G9" s="3"/>
      <x:c r="H9" s="33" t="str">
        <x:v>TOTAL</x:v>
      </x:c>
      <x:c r="I9" s="3"/>
      <x:c r="J9" s="3"/>
      <x:c r="K9" s="103" t="n">
        <x:f>SUM(K6:K8)</x:f>
        <x:v>456</x:v>
      </x:c>
      <x:c r="L9" s="104"/>
      <x:c r="M9" s="106" t="n">
        <x:f>SUM(M6:M8)</x:f>
        <x:v>2831646</x:v>
      </x:c>
      <x:c r="N9" s="102"/>
    </x:row>
    <x:row r="10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</x:row>
    <x:row r="11" ht="15" customHeight="1">
      <x:c r="A11" s="101" t="str">
        <x:v>Breakeven operators (using scenario Recurring Net Y1)</x:v>
      </x:c>
      <x:c r="B11" s="102"/>
      <x:c r="C11" s="102"/>
      <x:c r="D11" s="102"/>
      <x:c r="E11" s="102"/>
      <x:c r="F11"/>
      <x:c r="G11" s="101" t="str">
        <x:v>Unit Economics (assumption-driven)</x:v>
      </x:c>
      <x:c r="H11" s="102"/>
      <x:c r="I11" s="102"/>
      <x:c r="J11" s="102"/>
      <x:c r="K11" s="102"/>
      <x:c r="L11" s="102"/>
      <x:c r="M11" s="102"/>
      <x:c r="N11" s="102"/>
    </x:row>
    <x:row r="12" ht="16" customHeight="1">
      <x:c r="A12"/>
      <x:c r="B12"/>
      <x:c r="C12"/>
      <x:c r="D12"/>
      <x:c r="E12"/>
      <x:c r="F12"/>
      <x:c r="G12" s="2" t="str">
        <x:v>Scenario</x:v>
      </x:c>
      <x:c r="H12" s="2" t="str">
        <x:v>Net Y1</x:v>
      </x:c>
      <x:c r="I12" s="2" t="str">
        <x:v>Contribution Margin</x:v>
      </x:c>
      <x:c r="J12" s="2" t="str">
        <x:v>CAC</x:v>
      </x:c>
      <x:c r="K12" s="2" t="str">
        <x:v>LTV</x:v>
      </x:c>
      <x:c r="L12" s="2" t="str">
        <x:v>Payback (years)</x:v>
      </x:c>
      <x:c r="M12" s="112" t="str">
        <x:v>LTV/CAC</x:v>
      </x:c>
      <x:c r="N12" s="102"/>
    </x:row>
    <x:row r="13" ht="16" customHeight="1">
      <x:c r="A13" s="3" t="str">
        <x:v>Recurring Net Y1 — Small_15_Core</x:v>
      </x:c>
      <x:c r="B13" s="10" t="n">
        <x:f>VLOOKUP("Small_15_Core",Pricing_Model!$A$4:$AF$16,23,FALSE)</x:f>
        <x:v>80712</x:v>
      </x:c>
      <x:c r="C13"/>
      <x:c r="D13"/>
      <x:c r="E13"/>
      <x:c r="F13"/>
      <x:c r="G13" s="3" t="str">
        <x:v>Entry_8</x:v>
      </x:c>
      <x:c r="H13" s="10" t="n">
        <x:f>VLOOKUP("Entry_8",Pricing_Model!$A$4:$AF$16,24,FALSE)</x:f>
        <x:v>58880</x:v>
      </x:c>
      <x:c r="I13" s="10" t="n">
        <x:f>$H13*Inputs!$B$44</x:f>
        <x:v>44160</x:v>
      </x:c>
      <x:c r="J13" s="10" t="n">
        <x:f>Inputs!$B$41</x:f>
        <x:v>51600</x:v>
      </x:c>
      <x:c r="K13" s="10" t="n">
        <x:f>IF(($I13)=0,0,$I13/(Inputs!$B$42+Inputs!$B$43))</x:f>
        <x:v>245333.33333333334</x:v>
      </x:c>
      <x:c r="L13" s="35" t="n">
        <x:f>IF(($I13)=0,0,$J13/$I13)</x:f>
        <x:v>1.1684782608695652</x:v>
      </x:c>
      <x:c r="M13" s="110" t="n">
        <x:f>IF($J13=0,0,$K13/$J13)</x:f>
        <x:v>4.754521963824289</x:v>
      </x:c>
      <x:c r="N13" s="102"/>
    </x:row>
    <x:row r="14" ht="32" customHeight="1">
      <x:c r="A14" s="3" t="str">
        <x:v>Recurring Net Y1 — Large_50_Core</x:v>
      </x:c>
      <x:c r="B14" s="10" t="n">
        <x:f>VLOOKUP("Large_50_Core",Pricing_Model!$A$4:$AF$16,23,FALSE)</x:f>
        <x:v>292951.5</x:v>
      </x:c>
      <x:c r="C14"/>
      <x:c r="D14"/>
      <x:c r="E14"/>
      <x:c r="F14"/>
      <x:c r="G14" s="3" t="str">
        <x:v>Small_15_Core</x:v>
      </x:c>
      <x:c r="H14" s="10" t="n">
        <x:f>VLOOKUP("Small_15_Core",Pricing_Model!$A$4:$AF$16,24,FALSE)</x:f>
        <x:v>116712</x:v>
      </x:c>
      <x:c r="I14" s="10" t="n">
        <x:f>$H14*Inputs!$B$44</x:f>
        <x:v>87534</x:v>
      </x:c>
      <x:c r="J14" s="10" t="n">
        <x:f>Inputs!$B$41</x:f>
        <x:v>51600</x:v>
      </x:c>
      <x:c r="K14" s="10" t="n">
        <x:f>IF(($I14)=0,0,$I14/(Inputs!$B$42+Inputs!$B$43))</x:f>
        <x:v>486300</x:v>
      </x:c>
      <x:c r="L14" s="35" t="n">
        <x:f>IF(($I14)=0,0,$J14/$I14)</x:f>
        <x:v>0.589485228596888</x:v>
      </x:c>
      <x:c r="M14" s="110" t="n">
        <x:f>IF($J14=0,0,$K14/$J14)</x:f>
        <x:v>9.424418604651162</x:v>
      </x:c>
      <x:c r="N14" s="102"/>
    </x:row>
    <x:row r="15" ht="32" customHeight="1">
      <x:c r="A15" s="3" t="str">
        <x:v>Breakeven #Small operators (Current burn)</x:v>
      </x:c>
      <x:c r="B15" s="34" t="n">
        <x:f>Inputs!$B$8/$B$13</x:f>
        <x:v>11.795024283873525</x:v>
      </x:c>
      <x:c r="C15"/>
      <x:c r="D15"/>
      <x:c r="E15"/>
      <x:c r="F15"/>
      <x:c r="G15" s="3" t="str">
        <x:v>Typical_30</x:v>
      </x:c>
      <x:c r="H15" s="10" t="n">
        <x:f>VLOOKUP("Typical_30",Pricing_Model!$A$4:$AF$16,24,FALSE)</x:f>
        <x:v>269824</x:v>
      </x:c>
      <x:c r="I15" s="10" t="n">
        <x:f>$H15*Inputs!$B$44</x:f>
        <x:v>202368</x:v>
      </x:c>
      <x:c r="J15" s="10" t="n">
        <x:f>Inputs!$B$41</x:f>
        <x:v>51600</x:v>
      </x:c>
      <x:c r="K15" s="10" t="n">
        <x:f>IF(($I15)=0,0,$I15/(Inputs!$B$42+Inputs!$B$43))</x:f>
        <x:v>1124266.6666666667</x:v>
      </x:c>
      <x:c r="L15" s="35" t="n">
        <x:f>IF(($I15)=0,0,$J15/$I15)</x:f>
        <x:v>0.2549810246679317</x:v>
      </x:c>
      <x:c r="M15" s="110" t="n">
        <x:f>IF($J15=0,0,$K15/$J15)</x:f>
        <x:v>21.78811369509044</x:v>
      </x:c>
      <x:c r="N15" s="102"/>
    </x:row>
    <x:row r="16" ht="32" customHeight="1">
      <x:c r="A16" s="3" t="str">
        <x:v>Breakeven #Large operators (Current burn)</x:v>
      </x:c>
      <x:c r="B16" s="34" t="n">
        <x:f>Inputs!$B$8/$B$14</x:f>
        <x:v>3.2496846747669834</x:v>
      </x:c>
      <x:c r="C16"/>
      <x:c r="D16"/>
      <x:c r="E16"/>
      <x:c r="F16"/>
      <x:c r="G16" s="3" t="str">
        <x:v>Large_50_Core</x:v>
      </x:c>
      <x:c r="H16" s="10" t="n">
        <x:f>VLOOKUP("Large_50_Core",Pricing_Model!$A$4:$AF$16,24,FALSE)</x:f>
        <x:v>450951.5</x:v>
      </x:c>
      <x:c r="I16" s="10" t="n">
        <x:f>$H16*Inputs!$B$44</x:f>
        <x:v>338213.625</x:v>
      </x:c>
      <x:c r="J16" s="10" t="n">
        <x:f>Inputs!$B$41</x:f>
        <x:v>51600</x:v>
      </x:c>
      <x:c r="K16" s="10" t="n">
        <x:f>IF(($I16)=0,0,$I16/(Inputs!$B$42+Inputs!$B$43))</x:f>
        <x:v>1878964.5833333335</x:v>
      </x:c>
      <x:c r="L16" s="35" t="n">
        <x:f>IF(($I16)=0,0,$J16/$I16)</x:f>
        <x:v>0.1525662959320459</x:v>
      </x:c>
      <x:c r="M16" s="110" t="n">
        <x:f>IF($J16=0,0,$K16/$J16)</x:f>
        <x:v>36.4140423126615</x:v>
      </x:c>
      <x:c r="N16" s="102"/>
    </x:row>
    <x:row r="17">
      <x:c r="A17" s="36" t="str">
        <x:v>Breakeven users (Stage A total burn)</x:v>
      </x:c>
      <x:c r="B17" s="94" t="n">
        <x:f>Inputs!$B$13/$B$5</x:f>
        <x:v>110.6276684060721</x:v>
      </x:c>
      <x:c r="C17" s="36" t="str">
        <x:v>users</x:v>
      </x:c>
      <x:c r="D17"/>
      <x:c r="E17"/>
      <x:c r="F17"/>
      <x:c r="G17"/>
      <x:c r="H17"/>
      <x:c r="I17"/>
      <x:c r="J17"/>
      <x:c r="K17"/>
      <x:c r="L17"/>
      <x:c r="M17"/>
      <x:c r="N17"/>
    </x:row>
    <x:row r="18">
      <x:c r="A18" s="36" t="str">
        <x:v>Breakeven users (Stage A ongoing burn)</x:v>
      </x:c>
      <x:c r="B18" s="94" t="n">
        <x:f>Inputs!$B$12/$B$5</x:f>
        <x:v>27.79589658444023</x:v>
      </x:c>
      <x:c r="C18" s="36" t="str">
        <x:v>users</x:v>
      </x:c>
      <x:c r="D18"/>
      <x:c r="E18"/>
      <x:c r="F18"/>
      <x:c r="G18"/>
      <x:c r="H18"/>
      <x:c r="I18"/>
      <x:c r="J18"/>
      <x:c r="K18"/>
      <x:c r="L18"/>
      <x:c r="M18"/>
      <x:c r="N18"/>
    </x:row>
    <x:row r="19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</x:row>
    <x:row r="20" ht="16" customHeight="1">
      <x:c r="A20" s="108" t="str">
        <x:v>Sensitivity scenarios</x:v>
      </x:c>
      <x:c r="B20" s="109"/>
      <x:c r="C20" s="109"/>
      <x:c r="D20" s="109"/>
      <x:c r="E20" s="109"/>
      <x:c r="F20"/>
      <x:c r="G20" s="30" t="str">
        <x:v>ROI vs cost bases</x:v>
      </x:c>
      <x:c r="H20" s="30"/>
      <x:c r="I20" s="30"/>
      <x:c r="J20" s="30"/>
      <x:c r="K20" s="30"/>
      <x:c r="L20" s="30"/>
      <x:c r="M20" s="30"/>
      <x:c r="N20" s="30"/>
    </x:row>
    <x:row r="21" ht="16" customHeight="1">
      <x:c r="A21" s="2" t="str">
        <x:v>Scenario</x:v>
      </x:c>
      <x:c r="B21" s="2" t="str">
        <x:v>Users</x:v>
      </x:c>
      <x:c r="C21" s="2" t="str">
        <x:v>Net Y1</x:v>
      </x:c>
      <x:c r="D21" s="2" t="str">
        <x:v>ARPU Y1</x:v>
      </x:c>
      <x:c r="E21" s="2"/>
      <x:c r="F21"/>
      <x:c r="G21" s="2" t="str">
        <x:v>Cost base</x:v>
      </x:c>
      <x:c r="H21" s="2" t="str">
        <x:v>Annual cost (USD)</x:v>
      </x:c>
      <x:c r="I21" s="2" t="str">
        <x:v>ROI</x:v>
      </x:c>
      <x:c r="J21" s="2" t="str">
        <x:v>Meets ROI target?</x:v>
      </x:c>
      <x:c r="K21" s="2" t="str">
        <x:v>Capacity check</x:v>
      </x:c>
      <x:c r="L21" s="2" t="str">
        <x:v>Total users</x:v>
      </x:c>
      <x:c r="M21" s="2" t="str">
        <x:v>Capacity</x:v>
      </x:c>
      <x:c r="N21" s="2" t="str">
        <x:v>Within?</x:v>
      </x:c>
    </x:row>
    <x:row r="22" ht="16" customHeight="1">
      <x:c r="A22" s="3" t="str">
        <x:v>Sens_10</x:v>
      </x:c>
      <x:c r="B22" s="10" t="n">
        <x:f>VLOOKUP("Sens_10",Customer_Scenarios!$A$4:$T$16,3,FALSE)</x:f>
        <x:v>9</x:v>
      </x:c>
      <x:c r="C22" s="10" t="n">
        <x:f>VLOOKUP("Sens_10",Pricing_Model!$A$4:$AF$16,24,FALSE)</x:f>
        <x:v>79440</x:v>
      </x:c>
      <x:c r="D22" s="10" t="n">
        <x:f>VLOOKUP("Sens_10",Pricing_Model!$A$4:$AF$16,30,FALSE)</x:f>
        <x:v>7944</x:v>
      </x:c>
      <x:c r="E22" s="29"/>
      <x:c r="F22"/>
      <x:c r="G22" s="3" t="str">
        <x:v>Current</x:v>
      </x:c>
      <x:c r="H22" s="10" t="n">
        <x:f>Inputs!$B$8</x:f>
        <x:v>952000</x:v>
      </x:c>
      <x:c r="I22" s="29" t="n">
        <x:f>($M$9-H22)/H22</x:f>
        <x:v>1.9744180672268907</x:v>
      </x:c>
      <x:c r="J22" s="36" t="str">
        <x:f>IF(I22&gt;=Inputs!B6,"OK","Below")</x:f>
        <x:v>OK</x:v>
      </x:c>
      <x:c r="K22" s="36" t="str">
        <x:f>IF($K$9&lt;=Inputs!$B$9,"OK","OVER CAPACITY")</x:f>
        <x:v>OVER CAPACITY</x:v>
      </x:c>
      <x:c r="L22" s="17" t="n">
        <x:f>$K$9</x:f>
        <x:v>456</x:v>
      </x:c>
      <x:c r="M22" s="17" t="n">
        <x:f>Inputs!$B$9</x:f>
        <x:v>270</x:v>
      </x:c>
      <x:c r="N22" s="15" t="str">
        <x:f>IF(L22&lt;=M22,"OK","OVER")</x:f>
        <x:v>OVER</x:v>
      </x:c>
    </x:row>
    <x:row r="23" ht="16" customHeight="1">
      <x:c r="A23" s="3" t="str">
        <x:v>Sens_30</x:v>
      </x:c>
      <x:c r="B23" s="10" t="n">
        <x:f>VLOOKUP("Sens_30",Customer_Scenarios!$A$4:$T$16,3,FALSE)</x:f>
        <x:v>27</x:v>
      </x:c>
      <x:c r="C23" s="10" t="n">
        <x:f>VLOOKUP("Sens_30",Pricing_Model!$A$4:$AF$16,24,FALSE)</x:f>
        <x:v>228180</x:v>
      </x:c>
      <x:c r="D23" s="10" t="n">
        <x:f>VLOOKUP("Sens_30",Pricing_Model!$A$4:$AF$16,30,FALSE)</x:f>
        <x:v>7606</x:v>
      </x:c>
      <x:c r="E23" s="29"/>
      <x:c r="F23"/>
      <x:c r="G23" s="3" t="str">
        <x:v>Stage B - Growth (0–500 users)</x:v>
      </x:c>
      <x:c r="H23" s="10" t="n">
        <x:f>Inputs!$B$10</x:f>
        <x:v>1721000</x:v>
      </x:c>
      <x:c r="I23" s="29" t="n">
        <x:f>($M$9-H23)/H23</x:f>
        <x:v>0.6453492155723417</x:v>
      </x:c>
      <x:c r="J23" s="36" t="str">
        <x:f>IF(I23&gt;=Inputs!B6,"OK","Below")</x:f>
        <x:v>OK</x:v>
      </x:c>
      <x:c r="K23"/>
      <x:c r="L23"/>
      <x:c r="M23"/>
      <x:c r="N23"/>
    </x:row>
    <x:row r="24" ht="48">
      <x:c r="A24" s="3" t="str">
        <x:v>Sens_50</x:v>
      </x:c>
      <x:c r="B24" s="10" t="n">
        <x:f>VLOOKUP("Sens_50",Customer_Scenarios!$A$4:$T$16,3,FALSE)</x:f>
        <x:v>45</x:v>
      </x:c>
      <x:c r="C24" s="10" t="n">
        <x:f>VLOOKUP("Sens_50",Pricing_Model!$A$4:$AF$16,24,FALSE)</x:f>
        <x:v>379692</x:v>
      </x:c>
      <x:c r="D24" s="10" t="n">
        <x:f>VLOOKUP("Sens_50",Pricing_Model!$A$4:$AF$16,30,FALSE)</x:f>
        <x:v>7593.84</x:v>
      </x:c>
      <x:c r="E24" s="29"/>
      <x:c r="F24"/>
      <x:c r="G24" s="3" t="str">
        <x:v>Stage C - Full-scale (hiring/infrastructure ahead of demand, stress test)</x:v>
      </x:c>
      <x:c r="H24" s="10" t="n">
        <x:f>Inputs!$B$11</x:f>
        <x:v>2119000</x:v>
      </x:c>
      <x:c r="I24" s="29" t="n">
        <x:f>($M$9-H24)/H24</x:f>
        <x:v>0.3363124115148655</x:v>
      </x:c>
      <x:c r="J24" s="36" t="str">
        <x:f>IF(I24&gt;=Inputs!B6,"OK","Below")</x:f>
        <x:v>Below</x:v>
      </x:c>
      <x:c r="K24"/>
      <x:c r="L24"/>
      <x:c r="M24"/>
      <x:c r="N24"/>
    </x:row>
    <x:row r="25" ht="16" customHeight="1">
      <x:c r="A25" s="3" t="str">
        <x:v>Sens_100</x:v>
      </x:c>
      <x:c r="B25" s="10" t="n">
        <x:f>VLOOKUP("Sens_100",Customer_Scenarios!$A$4:$T$16,3,FALSE)</x:f>
        <x:v>90</x:v>
      </x:c>
      <x:c r="C25" s="10" t="n">
        <x:f>VLOOKUP("Sens_100",Pricing_Model!$A$4:$AF$16,24,FALSE)</x:f>
        <x:v>757560</x:v>
      </x:c>
      <x:c r="D25" s="10" t="n">
        <x:f>VLOOKUP("Sens_100",Pricing_Model!$A$4:$AF$16,30,FALSE)</x:f>
        <x:v>7575.6</x:v>
      </x:c>
      <x:c r="E25" s="29"/>
      <x:c r="F25"/>
      <x:c r="G25"/>
      <x:c r="H25"/>
      <x:c r="I25"/>
      <x:c r="J25"/>
      <x:c r="K25"/>
      <x:c r="L25"/>
      <x:c r="M25"/>
      <x:c r="N25"/>
    </x:row>
    <x:row r="26" ht="16" customHeight="1">
      <x:c r="A26" s="3" t="str">
        <x:v>Sens_200</x:v>
      </x:c>
      <x:c r="B26" s="10" t="n">
        <x:f>VLOOKUP("Sens_200",Customer_Scenarios!$A$4:$T$16,3,FALSE)</x:f>
        <x:v>180</x:v>
      </x:c>
      <x:c r="C26" s="10" t="n">
        <x:f>VLOOKUP("Sens_200",Pricing_Model!$A$4:$AF$16,24,FALSE)</x:f>
        <x:v>1460640</x:v>
      </x:c>
      <x:c r="D26" s="10" t="n">
        <x:f>VLOOKUP("Sens_200",Pricing_Model!$A$4:$AF$16,30,FALSE)</x:f>
        <x:v>7303.2</x:v>
      </x:c>
      <x:c r="E26" s="29"/>
      <x:c r="F26"/>
      <x:c r="G26"/>
      <x:c r="H26"/>
      <x:c r="I26"/>
      <x:c r="J26"/>
      <x:c r="K26"/>
      <x:c r="L26"/>
      <x:c r="M26"/>
      <x:c r="N26"/>
    </x:row>
    <x:row r="29" ht="16" customHeight="1"/>
    <x:row r="30" ht="16" customHeight="1"/>
    <x:row r="31" ht="16" customHeight="1"/>
    <x:row r="32" ht="16" customHeight="1"/>
    <x:row r="33" ht="16" customHeight="1"/>
  </x:sheetData>
  <x:mergeCells>
    <x:mergeCell ref="A20:E20"/>
    <x:mergeCell ref="M14:N14"/>
    <x:mergeCell ref="K6:L6"/>
    <x:mergeCell ref="A1:N1"/>
    <x:mergeCell ref="M13:N13"/>
    <x:mergeCell ref="M16:N16"/>
    <x:mergeCell ref="M7:N7"/>
    <x:mergeCell ref="M15:N15"/>
    <x:mergeCell ref="M12:N12"/>
    <x:mergeCell ref="M6:N6"/>
    <x:mergeCell ref="K8:L8"/>
    <x:mergeCell ref="A2:N2"/>
    <x:mergeCell ref="M8:N8"/>
    <x:mergeCell ref="G4:N4"/>
    <x:mergeCell ref="K7:L7"/>
    <x:mergeCell ref="A4:E4"/>
    <x:mergeCell ref="G11:N11"/>
    <x:mergeCell ref="A11:E11"/>
    <x:mergeCell ref="K9:L9"/>
    <x:mergeCell ref="K5:L5"/>
    <x:mergeCell ref="M9:N9"/>
    <x:mergeCell ref="M5:N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83203125" defaultRowHeight="15"/>
  <x:cols>
    <x:col min="1" max="1" width="56.1640625" style="36" customWidth="1"/>
    <x:col min="2" max="2" width="6.1640625" style="36" customWidth="1"/>
    <x:col min="3" max="4" width="11.83203125" style="36" customWidth="1"/>
    <x:col min="5" max="5" width="14" style="36" customWidth="1"/>
    <x:col min="6" max="6" width="23.1640625" style="36" customWidth="1"/>
    <x:col min="7" max="7" width="16.33203125" style="36" customWidth="1"/>
    <x:col min="8" max="8" width="12.1640625" style="36" customWidth="1"/>
    <x:col min="9" max="9" width="19" style="36" customWidth="1"/>
    <x:col min="10" max="10" width="14" style="36" customWidth="1"/>
    <x:col min="11" max="11" width="49.6640625" style="36" customWidth="1"/>
    <x:col min="12" max="12" width="14" style="36" customWidth="1"/>
    <x:col min="13" max="13" width="41.83203125" style="36" customWidth="1"/>
    <x:col min="14" max="14" width="8.83203125" style="36" customWidth="1"/>
    <x:col min="15" max="15" width="16.6640625" style="36" customWidth="1"/>
    <x:col min="16" max="18" width="8.83203125" style="36" customWidth="1"/>
    <x:col min="19" max="19" width="8.6640625" style="36" customWidth="1"/>
    <x:col min="20" max="20" width="8.5" style="36" customWidth="1"/>
    <x:col min="21" max="22" width="8.83203125" style="36" customWidth="1"/>
    <x:col min="23" max="16384" width="8.83203125" style="36" customWidth="0"/>
  </x:cols>
  <x:sheetData>
    <x:row r="1" ht="18" customHeight="1">
      <x:c r="A1" s="111" t="str">
        <x:v>Summary — Commercial View</x:v>
      </x:c>
      <x:c r="B1" s="102"/>
      <x:c r="C1" s="102"/>
      <x:c r="D1" s="102"/>
      <x:c r="E1" s="102"/>
      <x:c r="F1" s="102"/>
      <x:c r="G1" s="102"/>
      <x:c r="H1" s="102"/>
      <x:c r="I1" s="102"/>
      <x:c r="J1" s="102"/>
      <x:c r="K1" s="102"/>
      <x:c r="L1" s="102"/>
      <x:c r="M1" s="102"/>
    </x:row>
    <x:row r="2">
      <x:c r="A2" s="97" t="str">
        <x:v>This page is intended to be printable as a one-page commercial view.</x:v>
      </x:c>
      <x:c r="B2" s="102"/>
      <x:c r="C2" s="102"/>
      <x:c r="D2" s="102"/>
      <x:c r="E2" s="102"/>
      <x:c r="F2" s="102"/>
      <x:c r="G2" s="102"/>
      <x:c r="H2" s="102"/>
      <x:c r="I2" s="102"/>
      <x:c r="J2" s="102"/>
      <x:c r="K2" s="102"/>
      <x:c r="L2" s="102"/>
      <x:c r="M2" s="102"/>
    </x:row>
    <x:row r="3">
      <x:c r="A3" s="36" t="str">
        <x:v>All values are net USD (15% VAT on top) unless marked as gross.</x:v>
      </x:c>
      <x:c r="B3"/>
      <x:c r="C3"/>
      <x:c r="D3"/>
      <x:c r="E3"/>
      <x:c r="F3"/>
      <x:c r="G3"/>
      <x:c r="H3"/>
      <x:c r="I3"/>
      <x:c r="J3"/>
      <x:c r="K3"/>
      <x:c r="L3"/>
      <x:c r="M3"/>
    </x:row>
    <x:row r="4">
      <x:c r="A4"/>
      <x:c r="B4"/>
      <x:c r="C4"/>
      <x:c r="D4"/>
      <x:c r="E4"/>
      <x:c r="F4"/>
      <x:c r="G4"/>
      <x:c r="H4"/>
      <x:c r="I4"/>
      <x:c r="J4"/>
      <x:c r="K4"/>
      <x:c r="L4"/>
      <x:c r="M4"/>
    </x:row>
    <x:row r="5">
      <x:c r="A5" s="108" t="str">
        <x:v>Key scenarios</x:v>
      </x:c>
      <x:c r="B5" s="109"/>
      <x:c r="C5" s="109"/>
      <x:c r="D5" s="109"/>
      <x:c r="E5" s="109"/>
      <x:c r="F5" s="109"/>
      <x:c r="G5" s="109"/>
      <x:c r="H5" s="109"/>
      <x:c r="I5"/>
      <x:c r="J5"/>
      <x:c r="K5" s="119" t="str">
        <x:v>What the CEO sees</x:v>
      </x:c>
      <x:c r="L5" s="102"/>
      <x:c r="M5" s="102"/>
      <x:c r="N5" s="102"/>
    </x:row>
    <x:row r="6" ht="16" customHeight="1">
      <x:c r="A6" s="2" t="str">
        <x:v>Scenario</x:v>
      </x:c>
      <x:c r="B6" s="2" t="str">
        <x:v>Users</x:v>
      </x:c>
      <x:c r="C6" s="2" t="str">
        <x:v>Net Y1</x:v>
      </x:c>
      <x:c r="D6" s="2" t="str">
        <x:v>Gross Y1</x:v>
      </x:c>
      <x:c r="E6" s="2" t="str">
        <x:v>Net Y2</x:v>
      </x:c>
      <x:c r="F6" s="2" t="str">
        <x:v>Net Y3</x:v>
      </x:c>
      <x:c r="G6" s="2" t="str">
        <x:v>ARPU Y1</x:v>
      </x:c>
      <x:c r="H6" s="2" t="str">
        <x:v>Eff Discount</x:v>
      </x:c>
      <x:c r="I6"/>
      <x:c r="J6"/>
      <x:c r="K6" s="113" t="str">
        <x:v>Small operator — Core only</x:v>
      </x:c>
      <x:c r="L6" s="114"/>
      <x:c r="M6" s="115"/>
    </x:row>
    <x:row r="7" ht="37" customHeight="1">
      <x:c r="A7" s="3" t="str">
        <x:v>Entry_8</x:v>
      </x:c>
      <x:c r="B7" s="10" t="n">
        <x:f>VLOOKUP("Entry_8",Pricing_Model!$A$4:$AF$16,2,FALSE)</x:f>
        <x:v>8</x:v>
      </x:c>
      <x:c r="C7" s="10" t="n">
        <x:f>VLOOKUP("Entry_8",Pricing_Model!$A$4:$AF$16,24,FALSE)</x:f>
        <x:v>58880</x:v>
      </x:c>
      <x:c r="D7" s="10" t="n">
        <x:f>VLOOKUP("Entry_8",Pricing_Model!$A$4:$AF$16,25,FALSE)</x:f>
        <x:v>64768.00000000001</x:v>
      </x:c>
      <x:c r="E7" s="10" t="n">
        <x:f>VLOOKUP("Entry_8",Pricing_Model!$A$4:$AF$16,27,FALSE)</x:f>
        <x:v>43329.6</x:v>
      </x:c>
      <x:c r="F7" s="10" t="n">
        <x:f>VLOOKUP("Entry_8",Pricing_Model!$A$4:$AF$16,29,FALSE)</x:f>
        <x:v>44196.192</x:v>
      </x:c>
      <x:c r="G7" s="10" t="n">
        <x:f>VLOOKUP("Entry_8",Pricing_Model!$A$4:$AF$16,30,FALSE)</x:f>
        <x:v>7360</x:v>
      </x:c>
      <x:c r="H7" s="29" t="n">
        <x:f>VLOOKUP("Entry_8",Pricing_Model!$A$4:$AF$16,22,FALSE)</x:f>
        <x:v>0</x:v>
      </x:c>
      <x:c r="I7"/>
      <x:c r="J7"/>
      <x:c r="K7" s="117" t="str">
        <x:f>"You pay approx. "&amp;TEXT(VLOOKUP("Small_15_Core",Pricing_Model!$A$4:$AF$16,30,FALSE)/12,"#,##0")&amp;
" USD per user per month (net) in Year 1 (incl. activation &amp; training), then approx. "&amp;
TEXT(VLOOKUP("Small_15_Core",Pricing_Model!$A$4:$AF$16,31,FALSE)/12,"#,##0")&amp;
" USD per user per month (net) from Year 2 onwards. Year 1: "&amp;
TEXT(VLOOKUP("Small_15_Core",Pricing_Model!$A$4:$AF$16,24,FALSE),"#,##0")&amp;
" USD net ("&amp;
TEXT(VLOOKUP("Small_15_Core",Pricing_Model!$A$4:$AF$16,25,FALSE),"#,##0")&amp;
" USD gross incl. VAT). Years 2+: "&amp;
TEXT(VLOOKUP("Small_15_Core",Pricing_Model!$A$4:$AF$16,27,FALSE),"#,##0")&amp;
" USD net/year (renewal)."</x:f>
        <x:v>You pay approx. 648 USD per user per month (net) in Year 1 (incl. activation &amp; training), then approx. 457 USD per user per month (net) from Year 2 onwards. Year 1: 116,712 USD net (128,383 USD gross incl. VAT). Years 2+: 82,326 USD net/year (renewal).</x:v>
      </x:c>
      <x:c r="L7" s="102"/>
      <x:c r="M7" s="102"/>
      <x:c r="N7" s="102"/>
    </x:row>
    <x:row r="8" ht="16" customHeight="1">
      <x:c r="A8" s="3" t="str">
        <x:v>Typical_30</x:v>
      </x:c>
      <x:c r="B8" s="10" t="n">
        <x:f>VLOOKUP("Typical_30",Pricing_Model!$A$4:$AF$16,2,FALSE)</x:f>
        <x:v>27</x:v>
      </x:c>
      <x:c r="C8" s="10" t="n">
        <x:f>VLOOKUP("Typical_30",Pricing_Model!$A$4:$AF$16,24,FALSE)</x:f>
        <x:v>269824</x:v>
      </x:c>
      <x:c r="D8" s="10" t="n">
        <x:f>VLOOKUP("Typical_30",Pricing_Model!$A$4:$AF$16,25,FALSE)</x:f>
        <x:v>296806.4</x:v>
      </x:c>
      <x:c r="E8" s="10" t="n">
        <x:f>VLOOKUP("Typical_30",Pricing_Model!$A$4:$AF$16,27,FALSE)</x:f>
        <x:v>176280.48</x:v>
      </x:c>
      <x:c r="F8" s="10" t="n">
        <x:f>VLOOKUP("Typical_30",Pricing_Model!$A$4:$AF$16,29,FALSE)</x:f>
        <x:v>179806.0896</x:v>
      </x:c>
      <x:c r="G8" s="10" t="n">
        <x:f>VLOOKUP("Typical_30",Pricing_Model!$A$4:$AF$16,30,FALSE)</x:f>
        <x:v>8994.133333333333</x:v>
      </x:c>
      <x:c r="H8" s="29" t="n">
        <x:f>VLOOKUP("Typical_30",Pricing_Model!$A$4:$AF$16,22,FALSE)</x:f>
        <x:v>0.050000000000000044</x:v>
      </x:c>
      <x:c r="I8"/>
      <x:c r="J8"/>
      <x:c r="K8" s="113" t="str">
        <x:v>Small operator — Core + Advanced</x:v>
      </x:c>
      <x:c r="L8" s="114"/>
      <x:c r="M8" s="115"/>
    </x:row>
    <x:row r="9" ht="41" customHeight="1">
      <x:c r="A9" s="3" t="str">
        <x:v>Small_15_Core</x:v>
      </x:c>
      <x:c r="B9" s="10" t="n">
        <x:f>VLOOKUP("Small_15_Core",Pricing_Model!$A$4:$AF$16,2,FALSE)</x:f>
        <x:v>14</x:v>
      </x:c>
      <x:c r="C9" s="10" t="n">
        <x:f>VLOOKUP("Small_15_Core",Pricing_Model!$A$4:$AF$16,24,FALSE)</x:f>
        <x:v>116712</x:v>
      </x:c>
      <x:c r="D9" s="10" t="n">
        <x:f>VLOOKUP("Small_15_Core",Pricing_Model!$A$4:$AF$16,25,FALSE)</x:f>
        <x:v>128383.20000000001</x:v>
      </x:c>
      <x:c r="E9" s="10" t="n">
        <x:f>VLOOKUP("Small_15_Core",Pricing_Model!$A$4:$AF$16,27,FALSE)</x:f>
        <x:v>82326.24</x:v>
      </x:c>
      <x:c r="F9" s="10" t="n">
        <x:f>VLOOKUP("Small_15_Core",Pricing_Model!$A$4:$AF$16,29,FALSE)</x:f>
        <x:v>83972.7648</x:v>
      </x:c>
      <x:c r="G9" s="10" t="n">
        <x:f>VLOOKUP("Small_15_Core",Pricing_Model!$A$4:$AF$16,30,FALSE)</x:f>
        <x:v>7780.8</x:v>
      </x:c>
      <x:c r="H9" s="29" t="n">
        <x:f>VLOOKUP("Small_15_Core",Pricing_Model!$A$4:$AF$16,22,FALSE)</x:f>
        <x:v>0.050000000000000044</x:v>
      </x:c>
      <x:c r="I9"/>
      <x:c r="J9"/>
      <x:c r="K9" s="117" t="str">
        <x:f>"You pay approx. "&amp;TEXT(VLOOKUP("Small_15_Advanced",Pricing_Model!$A$4:$AF$16,30,FALSE)/12,"#,##0")&amp;
" USD per user per month (net) in Year 1 (incl. activation &amp; training), then approx. "&amp;
TEXT(VLOOKUP("Small_15_Advanced",Pricing_Model!$A$4:$AF$16,31,FALSE)/12,"#,##0")&amp;
" USD per user per month (net) from Year 2 onwards. Year 1: "&amp;
TEXT(VLOOKUP("Small_15_Advanced",Pricing_Model!$A$4:$AF$16,24,FALSE),"#,##0")&amp;
" USD net ("&amp;
TEXT(VLOOKUP("Small_15_Advanced",Pricing_Model!$A$4:$AF$16,25,FALSE),"#,##0")&amp;
" USD gross incl. VAT). Years 2+: "&amp;
TEXT(VLOOKUP("Small_15_Advanced",Pricing_Model!$A$4:$AF$16,27,FALSE),"#,##0")&amp;
" USD net/year (renewal)."</x:f>
        <x:v>You pay approx. 694 USD per user per month (net) in Year 1 (incl. activation &amp; training), then approx. 504 USD per user per month (net) from Year 2 onwards. Year 1: 124,920 USD net (137,412 USD gross incl. VAT). Years 2+: 90,698 USD net/year (renewal).</x:v>
      </x:c>
      <x:c r="L9" s="102"/>
      <x:c r="M9" s="102"/>
      <x:c r="N9" s="102"/>
    </x:row>
    <x:row r="10" ht="16" customHeight="1">
      <x:c r="A10" s="3" t="str">
        <x:v>Small_15_Advanced</x:v>
      </x:c>
      <x:c r="B10" s="10" t="n">
        <x:f>VLOOKUP("Small_15_Advanced",Pricing_Model!$A$4:$AF$16,2,FALSE)</x:f>
        <x:v>14</x:v>
      </x:c>
      <x:c r="C10" s="10" t="n">
        <x:f>VLOOKUP("Small_15_Advanced",Pricing_Model!$A$4:$AF$16,24,FALSE)</x:f>
        <x:v>124920</x:v>
      </x:c>
      <x:c r="D10" s="10" t="n">
        <x:f>VLOOKUP("Small_15_Advanced",Pricing_Model!$A$4:$AF$16,25,FALSE)</x:f>
        <x:v>137412</x:v>
      </x:c>
      <x:c r="E10" s="10" t="n">
        <x:f>VLOOKUP("Small_15_Advanced",Pricing_Model!$A$4:$AF$16,27,FALSE)</x:f>
        <x:v>90698.40000000001</x:v>
      </x:c>
      <x:c r="F10" s="10" t="n">
        <x:f>VLOOKUP("Small_15_Advanced",Pricing_Model!$A$4:$AF$16,29,FALSE)</x:f>
        <x:v>92512.36800000002</x:v>
      </x:c>
      <x:c r="G10" s="10" t="n">
        <x:f>VLOOKUP("Small_15_Advanced",Pricing_Model!$A$4:$AF$16,30,FALSE)</x:f>
        <x:v>8328</x:v>
      </x:c>
      <x:c r="H10" s="29" t="n">
        <x:f>VLOOKUP("Small_15_Advanced",Pricing_Model!$A$4:$AF$16,22,FALSE)</x:f>
        <x:v>0.050000000000000044</x:v>
      </x:c>
      <x:c r="I10"/>
      <x:c r="J10"/>
      <x:c r="K10" s="113" t="str">
        <x:v>Small operator — Core + Advanced + Premium</x:v>
      </x:c>
      <x:c r="L10" s="114"/>
      <x:c r="M10" s="115"/>
    </x:row>
    <x:row r="11" ht="34" customHeight="1">
      <x:c r="A11" s="3" t="str">
        <x:v>Small_15_Premium</x:v>
      </x:c>
      <x:c r="B11" s="10" t="n">
        <x:f>VLOOKUP("Small_15_Premium",Pricing_Model!$A$4:$AF$16,2,FALSE)</x:f>
        <x:v>14</x:v>
      </x:c>
      <x:c r="C11" s="10" t="n">
        <x:f>VLOOKUP("Small_15_Premium",Pricing_Model!$A$4:$AF$16,24,FALSE)</x:f>
        <x:v>139113</x:v>
      </x:c>
      <x:c r="D11" s="10" t="n">
        <x:f>VLOOKUP("Small_15_Premium",Pricing_Model!$A$4:$AF$16,25,FALSE)</x:f>
        <x:v>153024.30000000002</x:v>
      </x:c>
      <x:c r="E11" s="10" t="n">
        <x:f>VLOOKUP("Small_15_Premium",Pricing_Model!$A$4:$AF$16,27,FALSE)</x:f>
        <x:v>105175.26</x:v>
      </x:c>
      <x:c r="F11" s="10" t="n">
        <x:f>VLOOKUP("Small_15_Premium",Pricing_Model!$A$4:$AF$16,29,FALSE)</x:f>
        <x:v>107278.7652</x:v>
      </x:c>
      <x:c r="G11" s="10" t="n">
        <x:f>VLOOKUP("Small_15_Premium",Pricing_Model!$A$4:$AF$16,30,FALSE)</x:f>
        <x:v>9274.2</x:v>
      </x:c>
      <x:c r="H11" s="29" t="n">
        <x:f>VLOOKUP("Small_15_Premium",Pricing_Model!$A$4:$AF$16,22,FALSE)</x:f>
        <x:v>0.050000000000000044</x:v>
      </x:c>
      <x:c r="I11"/>
      <x:c r="J11"/>
      <x:c r="K11" s="117" t="str">
        <x:f>"You pay approx. "&amp;TEXT(VLOOKUP("Small_15_Premium",Pricing_Model!$A$4:$AF$16,30,FALSE)/12,"#,##0")&amp;
" USD per user per month (net) in Year 1 (incl. activation &amp; training), then approx. "&amp;
TEXT(VLOOKUP("Small_15_Premium",Pricing_Model!$A$4:$AF$16,31,FALSE)/12,"#,##0")&amp;
" USD per user per month (net) from Year 2 onwards. Year 1: "&amp;
TEXT(VLOOKUP("Small_15_Premium",Pricing_Model!$A$4:$AF$16,24,FALSE),"#,##0")&amp;
" USD net ("&amp;
TEXT(VLOOKUP("Small_15_Premium",Pricing_Model!$A$4:$AF$16,25,FALSE),"#,##0")&amp;
" USD gross incl. VAT). Years 2+: "&amp;
TEXT(VLOOKUP("Small_15_Premium",Pricing_Model!$A$4:$AF$16,27,FALSE),"#,##0")&amp;
" USD net/year (renewal)."</x:f>
        <x:v>You pay approx. 773 USD per user per month (net) in Year 1 (incl. activation &amp; training), then approx. 584 USD per user per month (net) from Year 2 onwards. Year 1: 139,113 USD net (153,024 USD gross incl. VAT). Years 2+: 105,175 USD net/year (renewal).</x:v>
      </x:c>
      <x:c r="L11" s="102"/>
      <x:c r="M11" s="102"/>
      <x:c r="N11" s="102"/>
    </x:row>
    <x:row r="12" ht="16" customHeight="1">
      <x:c r="A12" s="3" t="str">
        <x:v>Large_50_Core</x:v>
      </x:c>
      <x:c r="B12" s="10" t="n">
        <x:f>VLOOKUP("Large_50_Core",Pricing_Model!$A$4:$AF$16,2,FALSE)</x:f>
        <x:v>45</x:v>
      </x:c>
      <x:c r="C12" s="10" t="n">
        <x:f>VLOOKUP("Large_50_Core",Pricing_Model!$A$4:$AF$16,24,FALSE)</x:f>
        <x:v>450951.5</x:v>
      </x:c>
      <x:c r="D12" s="10" t="n">
        <x:f>VLOOKUP("Large_50_Core",Pricing_Model!$A$4:$AF$16,25,FALSE)</x:f>
        <x:v>496046.65</x:v>
      </x:c>
      <x:c r="E12" s="10" t="n">
        <x:f>VLOOKUP("Large_50_Core",Pricing_Model!$A$4:$AF$16,27,FALSE)</x:f>
        <x:v>298810.53</x:v>
      </x:c>
      <x:c r="F12" s="10" t="n">
        <x:f>VLOOKUP("Large_50_Core",Pricing_Model!$A$4:$AF$16,29,FALSE)</x:f>
        <x:v>304786.7406</x:v>
      </x:c>
      <x:c r="G12" s="10" t="n">
        <x:f>VLOOKUP("Large_50_Core",Pricing_Model!$A$4:$AF$16,30,FALSE)</x:f>
        <x:v>9019.03</x:v>
      </x:c>
      <x:c r="H12" s="29" t="n">
        <x:f>VLOOKUP("Large_50_Core",Pricing_Model!$A$4:$AF$16,22,FALSE)</x:f>
        <x:v>0.09750000000000003</x:v>
      </x:c>
      <x:c r="I12"/>
      <x:c r="J12"/>
      <x:c r="K12"/>
      <x:c r="L12"/>
      <x:c r="M12"/>
    </x:row>
    <x:row r="13" ht="16" customHeight="1">
      <x:c r="A13" s="3" t="str">
        <x:v>Large_50_Advanced</x:v>
      </x:c>
      <x:c r="B13" s="10" t="n">
        <x:f>VLOOKUP("Large_50_Advanced",Pricing_Model!$A$4:$AF$16,2,FALSE)</x:f>
        <x:v>45</x:v>
      </x:c>
      <x:c r="C13" s="10" t="n">
        <x:f>VLOOKUP("Large_50_Advanced",Pricing_Model!$A$4:$AF$16,24,FALSE)</x:f>
        <x:v>491943.5</x:v>
      </x:c>
      <x:c r="D13" s="10" t="n">
        <x:f>VLOOKUP("Large_50_Advanced",Pricing_Model!$A$4:$AF$16,25,FALSE)</x:f>
        <x:v>541137.8500000001</x:v>
      </x:c>
      <x:c r="E13" s="10" t="n">
        <x:f>VLOOKUP("Large_50_Advanced",Pricing_Model!$A$4:$AF$16,27,FALSE)</x:f>
        <x:v>325322.37</x:v>
      </x:c>
      <x:c r="F13" s="10" t="n">
        <x:f>VLOOKUP("Large_50_Advanced",Pricing_Model!$A$4:$AF$16,29,FALSE)</x:f>
        <x:v>331828.8174</x:v>
      </x:c>
      <x:c r="G13" s="10" t="n">
        <x:f>VLOOKUP("Large_50_Advanced",Pricing_Model!$A$4:$AF$16,30,FALSE)</x:f>
        <x:v>9838.87</x:v>
      </x:c>
      <x:c r="H13" s="29" t="n">
        <x:f>VLOOKUP("Large_50_Advanced",Pricing_Model!$A$4:$AF$16,22,FALSE)</x:f>
        <x:v>0.09750000000000003</x:v>
      </x:c>
      <x:c r="I13"/>
      <x:c r="J13"/>
      <x:c r="K13" s="113" t="str">
        <x:v>Large operator — Core only</x:v>
      </x:c>
      <x:c r="L13" s="114"/>
      <x:c r="M13" s="115"/>
    </x:row>
    <x:row r="14" ht="36" customHeight="1">
      <x:c r="A14" s="3" t="str">
        <x:v>Large_50_Premium</x:v>
      </x:c>
      <x:c r="B14" s="10" t="n">
        <x:f>VLOOKUP("Large_50_Premium",Pricing_Model!$A$4:$AF$16,2,FALSE)</x:f>
        <x:v>45</x:v>
      </x:c>
      <x:c r="C14" s="10" t="n">
        <x:f>VLOOKUP("Large_50_Premium",Pricing_Model!$A$4:$AF$16,24,FALSE)</x:f>
        <x:v>703855</x:v>
      </x:c>
      <x:c r="D14" s="10" t="n">
        <x:f>VLOOKUP("Large_50_Premium",Pricing_Model!$A$4:$AF$16,25,FALSE)</x:f>
        <x:v>774240.5000000001</x:v>
      </x:c>
      <x:c r="E14" s="10" t="n">
        <x:f>VLOOKUP("Large_50_Premium",Pricing_Model!$A$4:$AF$16,27,FALSE)</x:f>
        <x:v>436922.10000000003</x:v>
      </x:c>
      <x:c r="F14" s="10" t="n">
        <x:f>VLOOKUP("Large_50_Premium",Pricing_Model!$A$4:$AF$16,29,FALSE)</x:f>
        <x:v>445660.542</x:v>
      </x:c>
      <x:c r="G14" s="10" t="n">
        <x:f>VLOOKUP("Large_50_Premium",Pricing_Model!$A$4:$AF$16,30,FALSE)</x:f>
        <x:v>14077.1</x:v>
      </x:c>
      <x:c r="H14" s="29" t="n">
        <x:f>VLOOKUP("Large_50_Premium",Pricing_Model!$A$4:$AF$16,22,FALSE)</x:f>
        <x:v>0.145</x:v>
      </x:c>
      <x:c r="I14"/>
      <x:c r="J14"/>
      <x:c r="K14" s="117" t="str">
        <x:f>"You pay approx. "&amp;TEXT(VLOOKUP("Large_50_Core",Pricing_Model!$A$4:$AF$16,30,FALSE)/12,"#,##0")&amp;
" USD per user per month (net) in Year 1 (incl. activation &amp; training), then approx. "&amp;
TEXT(VLOOKUP("Large_50_Core",Pricing_Model!$A$4:$AF$16,31,FALSE)/12,"#,##0")&amp;
" USD per user per month (net) from Year 2 onwards. Year 1: "&amp;
TEXT(VLOOKUP("Large_50_Core",Pricing_Model!$A$4:$AF$16,24,FALSE),"#,##0")&amp;
" USD net ("&amp;
TEXT(VLOOKUP("Large_50_Core",Pricing_Model!$A$4:$AF$16,25,FALSE),"#,##0")&amp;
" USD gross incl. VAT). Years 2+: "&amp;
TEXT(VLOOKUP("Large_50_Core",Pricing_Model!$A$4:$AF$16,27,FALSE),"#,##0")&amp;
" USD net/year (renewal)."</x:f>
        <x:v>You pay approx. 752 USD per user per month (net) in Year 1 (incl. activation &amp; training), then approx. 498 USD per user per month (net) from Year 2 onwards. Year 1: 450,952 USD net (496,047 USD gross incl. VAT). Years 2+: 298,811 USD net/year (renewal).</x:v>
      </x:c>
      <x:c r="L14" s="102"/>
      <x:c r="M14" s="102"/>
      <x:c r="N14" s="102"/>
    </x:row>
    <x:row r="15">
      <x:c r="A15"/>
      <x:c r="B15"/>
      <x:c r="C15"/>
      <x:c r="D15"/>
      <x:c r="E15"/>
      <x:c r="F15"/>
      <x:c r="G15"/>
      <x:c r="H15"/>
      <x:c r="I15"/>
      <x:c r="J15"/>
      <x:c r="K15" s="113" t="str">
        <x:v>Large operator — Core + Advanced</x:v>
      </x:c>
      <x:c r="L15" s="114"/>
      <x:c r="M15" s="115"/>
    </x:row>
    <x:row r="16" ht="36" customHeight="1">
      <x:c r="A16" s="131" t="str">
        <x:v>Operator scenarios — Core platform (net USD)</x:v>
      </x:c>
      <x:c r="B16" s="109"/>
      <x:c r="C16" s="109"/>
      <x:c r="D16" s="109"/>
      <x:c r="E16" s="109"/>
      <x:c r="F16" s="109"/>
      <x:c r="G16" s="109"/>
      <x:c r="H16" s="109"/>
      <x:c r="I16"/>
      <x:c r="J16"/>
      <x:c r="K16" s="117" t="str">
        <x:f>"You pay approx. "&amp;TEXT(VLOOKUP("Large_50_Advanced",Pricing_Model!$A$4:$AF$16,30,FALSE)/12,"#,##0")&amp;
" USD per user per month (net) in Year 1 (incl. activation &amp; training), then approx. "&amp;
TEXT(VLOOKUP("Large_50_Advanced",Pricing_Model!$A$4:$AF$16,31,FALSE)/12,"#,##0")&amp;
" USD per user per month (net) from Year 2 onwards. Year 1: "&amp;
TEXT(VLOOKUP("Large_50_Advanced",Pricing_Model!$A$4:$AF$16,24,FALSE),"#,##0")&amp;
" USD net ("&amp;
TEXT(VLOOKUP("Large_50_Advanced",Pricing_Model!$A$4:$AF$16,25,FALSE),"#,##0")&amp;
" USD gross incl. VAT). Years 2+: "&amp;
TEXT(VLOOKUP("Large_50_Advanced",Pricing_Model!$A$4:$AF$16,27,FALSE),"#,##0")&amp;
" USD net/year (renewal)."</x:f>
        <x:v>You pay approx. 820 USD per user per month (net) in Year 1 (incl. activation &amp; training), then approx. 542 USD per user per month (net) from Year 2 onwards. Year 1: 491,944 USD net (541,138 USD gross incl. VAT). Years 2+: 325,322 USD net/year (renewal).</x:v>
      </x:c>
      <x:c r="L16" s="102"/>
      <x:c r="M16" s="102"/>
      <x:c r="N16" s="102"/>
    </x:row>
    <x:row r="17">
      <x:c r="A17" s="46" t="str">
        <x:v>Scenario</x:v>
      </x:c>
      <x:c r="B17" s="46" t="str">
        <x:v>Users</x:v>
      </x:c>
      <x:c r="C17" s="46" t="str">
        <x:v>Net Y1</x:v>
      </x:c>
      <x:c r="D17" s="46" t="str">
        <x:v>Net Y2</x:v>
      </x:c>
      <x:c r="E17" s="46" t="str">
        <x:v>Net Y3</x:v>
      </x:c>
      <x:c r="F17" s="46" t="str">
        <x:v>Approx per user / month</x:v>
      </x:c>
      <x:c r="G17" s="128" t="str">
        <x:v>Eff. Discount</x:v>
      </x:c>
      <x:c r="H17" s="129"/>
      <x:c r="I17"/>
      <x:c r="J17"/>
      <x:c r="K17" s="113" t="str">
        <x:v>Large operator — Core + Advanced + Premium</x:v>
      </x:c>
      <x:c r="L17" s="114"/>
      <x:c r="M17" s="115"/>
    </x:row>
    <x:row r="18" ht="41" customHeight="1">
      <x:c r="A18" s="36" t="str">
        <x:v>Entry_8</x:v>
      </x:c>
      <x:c r="B18" s="36" t="n">
        <x:f>IF($A18="","",VLOOKUP($A18,Pricing_Model!$A$4:$AF$16,2,FALSE))</x:f>
        <x:v>8</x:v>
      </x:c>
      <x:c r="C18" s="93" t="n">
        <x:f>IF($A18="","",VLOOKUP($A18,Pricing_Model!$A$4:$AF$16,24,FALSE))</x:f>
        <x:v>58880</x:v>
      </x:c>
      <x:c r="D18" s="93" t="n">
        <x:f>IF($A18="","",VLOOKUP($A18,Pricing_Model!$A$4:$AF$16,27,FALSE))</x:f>
        <x:v>43329.6</x:v>
      </x:c>
      <x:c r="E18" s="93" t="n">
        <x:f>IF($A18="","",VLOOKUP($A18,Pricing_Model!$A$4:$AF$16,29,FALSE))</x:f>
        <x:v>44196.192</x:v>
      </x:c>
      <x:c r="F18" s="93" t="n">
        <x:f>IF($A18="","",VLOOKUP($A18,Pricing_Model!$A$4:$AF$16,30,FALSE)/12)</x:f>
        <x:v>613.3333333333334</x:v>
      </x:c>
      <x:c r="G18" s="123" t="n">
        <x:f>IF($A18="","",VLOOKUP($A18,Pricing_Model!$A$4:$AF$16,22,FALSE))</x:f>
        <x:v>0</x:v>
      </x:c>
      <x:c r="H18" s="124"/>
      <x:c r="I18"/>
      <x:c r="J18"/>
      <x:c r="K18" s="117" t="str">
        <x:f>"You pay approx. "&amp;TEXT(VLOOKUP("Large_50_Premium",Pricing_Model!$A$4:$AF$16,30,FALSE)/12,"#,##0")&amp;
" USD per user per month (net) in Year 1 (incl. activation &amp; training), then approx. "&amp;
TEXT(VLOOKUP("Large_50_Premium",Pricing_Model!$A$4:$AF$16,31,FALSE)/12,"#,##0")&amp;
" USD per user per month (net) from Year 2 onwards. Year 1: "&amp;
TEXT(VLOOKUP("Large_50_Premium",Pricing_Model!$A$4:$AF$16,24,FALSE),"#,##0")&amp;
" USD net ("&amp;
TEXT(VLOOKUP("Large_50_Premium",Pricing_Model!$A$4:$AF$16,25,FALSE),"#,##0")&amp;
" USD gross incl. VAT). Years 2+: "&amp;
TEXT(VLOOKUP("Large_50_Premium",Pricing_Model!$A$4:$AF$16,27,FALSE),"#,##0")&amp;
" USD net/year (renewal)."</x:f>
        <x:v>You pay approx. 1,173 USD per user per month (net) in Year 1 (incl. activation &amp; training), then approx. 728 USD per user per month (net) from Year 2 onwards. Year 1: 703,855 USD net (774,241 USD gross incl. VAT). Years 2+: 436,922 USD net/year (renewal).</x:v>
      </x:c>
      <x:c r="L18" s="102"/>
      <x:c r="M18" s="102"/>
      <x:c r="N18" s="102"/>
    </x:row>
    <x:row r="19">
      <x:c r="A19" s="36" t="str">
        <x:v>Small_15_Core</x:v>
      </x:c>
      <x:c r="B19" s="36" t="n">
        <x:f>IF($A19="","",VLOOKUP($A19,Pricing_Model!$A$4:$AF$16,2,FALSE))</x:f>
        <x:v>14</x:v>
      </x:c>
      <x:c r="C19" s="93" t="n">
        <x:f>IF($A19="","",VLOOKUP($A19,Pricing_Model!$A$4:$AF$16,24,FALSE))</x:f>
        <x:v>116712</x:v>
      </x:c>
      <x:c r="D19" s="93" t="n">
        <x:f>IF($A19="","",VLOOKUP($A19,Pricing_Model!$A$4:$AF$16,27,FALSE))</x:f>
        <x:v>82326.24</x:v>
      </x:c>
      <x:c r="E19" s="93" t="n">
        <x:f>IF($A19="","",VLOOKUP($A19,Pricing_Model!$A$4:$AF$16,29,FALSE))</x:f>
        <x:v>83972.7648</x:v>
      </x:c>
      <x:c r="F19" s="93" t="n">
        <x:f>IF($A19="","",VLOOKUP($A19,Pricing_Model!$A$4:$AF$16,30,FALSE)/12)</x:f>
        <x:v>648.4</x:v>
      </x:c>
      <x:c r="G19" s="123" t="n">
        <x:f>IF($A19="","",VLOOKUP($A19,Pricing_Model!$A$4:$AF$16,22,FALSE))</x:f>
        <x:v>0.050000000000000044</x:v>
      </x:c>
      <x:c r="H19" s="124"/>
      <x:c r="I19"/>
      <x:c r="J19"/>
      <x:c r="K19"/>
      <x:c r="L19"/>
      <x:c r="M19"/>
    </x:row>
    <x:row r="20" ht="16" customHeight="1">
      <x:c r="A20" s="36" t="str">
        <x:v>Typical_30</x:v>
      </x:c>
      <x:c r="B20" s="36" t="n">
        <x:f>IF($A20="","",VLOOKUP($A20,Pricing_Model!$A$4:$AF$16,2,FALSE))</x:f>
        <x:v>27</x:v>
      </x:c>
      <x:c r="C20" s="93" t="n">
        <x:f>IF($A20="","",VLOOKUP($A20,Pricing_Model!$A$4:$AF$16,24,FALSE))</x:f>
        <x:v>269824</x:v>
      </x:c>
      <x:c r="D20" s="93" t="n">
        <x:f>IF($A20="","",VLOOKUP($A20,Pricing_Model!$A$4:$AF$16,27,FALSE))</x:f>
        <x:v>176280.48</x:v>
      </x:c>
      <x:c r="E20" s="93" t="n">
        <x:f>IF($A20="","",VLOOKUP($A20,Pricing_Model!$A$4:$AF$16,29,FALSE))</x:f>
        <x:v>179806.0896</x:v>
      </x:c>
      <x:c r="F20" s="93" t="n">
        <x:f>IF($A20="","",VLOOKUP($A20,Pricing_Model!$A$4:$AF$16,30,FALSE)/12)</x:f>
        <x:v>749.5111111111111</x:v>
      </x:c>
      <x:c r="G20" s="123" t="n">
        <x:f>IF($A20="","",VLOOKUP($A20,Pricing_Model!$A$4:$AF$16,22,FALSE))</x:f>
        <x:v>0.050000000000000044</x:v>
      </x:c>
      <x:c r="H20" s="124"/>
      <x:c r="I20"/>
      <x:c r="J20"/>
      <x:c r="K20" s="118" t="str">
        <x:v>Commercial view: what's included vs what's extra</x:v>
      </x:c>
      <x:c r="L20" s="102"/>
      <x:c r="M20" s="102"/>
      <x:c r="N20" s="102"/>
    </x:row>
    <x:row r="21" ht="16" customHeight="1">
      <x:c r="A21" s="36" t="str">
        <x:v>Large_50_Core</x:v>
      </x:c>
      <x:c r="B21" s="36" t="n">
        <x:f>IF($A21="","",VLOOKUP($A21,Pricing_Model!$A$4:$AF$16,2,FALSE))</x:f>
        <x:v>45</x:v>
      </x:c>
      <x:c r="C21" s="93" t="n">
        <x:f>IF($A21="","",VLOOKUP($A21,Pricing_Model!$A$4:$AF$16,24,FALSE))</x:f>
        <x:v>450951.5</x:v>
      </x:c>
      <x:c r="D21" s="93" t="n">
        <x:f>IF($A21="","",VLOOKUP($A21,Pricing_Model!$A$4:$AF$16,27,FALSE))</x:f>
        <x:v>298810.53</x:v>
      </x:c>
      <x:c r="E21" s="93" t="n">
        <x:f>IF($A21="","",VLOOKUP($A21,Pricing_Model!$A$4:$AF$16,29,FALSE))</x:f>
        <x:v>304786.7406</x:v>
      </x:c>
      <x:c r="F21" s="93" t="n">
        <x:f>IF($A21="","",VLOOKUP($A21,Pricing_Model!$A$4:$AF$16,30,FALSE)/12)</x:f>
        <x:v>751.5858333333334</x:v>
      </x:c>
      <x:c r="G21" s="123" t="n">
        <x:f>IF($A21="","",VLOOKUP($A21,Pricing_Model!$A$4:$AF$16,22,FALSE))</x:f>
        <x:v>0.09750000000000003</x:v>
      </x:c>
      <x:c r="H21" s="124"/>
      <x:c r="I21"/>
      <x:c r="J21"/>
      <x:c r="K21" s="47" t="str">
        <x:v>Included in base (Core platform)</x:v>
      </x:c>
      <x:c r="L21" s="42"/>
      <x:c r="M21" s="122" t="str">
        <x:v>Optional add-ons / upgrades</x:v>
      </x:c>
      <x:c r="N21" s="102"/>
    </x:row>
    <x:row r="22" ht="35" customHeight="1">
      <x:c r="A22"/>
      <x:c r="B22"/>
      <x:c r="C22"/>
      <x:c r="D22"/>
      <x:c r="E22"/>
      <x:c r="F22"/>
      <x:c r="G22"/>
      <x:c r="H22"/>
      <x:c r="I22"/>
      <x:c r="J22"/>
      <x:c r="K22" s="43" t="str">
        <x:v>Annual prepaid contract (net USD; VAT on top)</x:v>
      </x:c>
      <x:c r="L22" s="43"/>
      <x:c r="M22" s="127" t="str">
        <x:v>Advanced module uplift per clinical user (monthly, billed annually)</x:v>
      </x:c>
      <x:c r="N22" s="102"/>
    </x:row>
    <x:row r="23" ht="36" customHeight="1">
      <x:c r="A23" s="121" t="str">
        <x:v>Breakeven summary</x:v>
      </x:c>
      <x:c r="B23" s="109"/>
      <x:c r="C23" s="109"/>
      <x:c r="D23"/>
      <x:c r="E23" s="121" t="str">
        <x:v>Per-role annual prices (net)</x:v>
      </x:c>
      <x:c r="F23" s="109"/>
      <x:c r="G23" s="109"/>
      <x:c r="H23" s="109"/>
      <x:c r="I23"/>
      <x:c r="J23"/>
      <x:c r="K23" s="44" t="str">
        <x:v>Per-user pricing; minimum entry is 8 users (6 field + 1 Operations Admin + 1 Executive Approver)</x:v>
      </x:c>
      <x:c r="L23"/>
      <x:c r="M23" s="116" t="str">
        <x:v>24/7 Premium Support (annual fee)
</x:v>
      </x:c>
      <x:c r="N23" s="102"/>
    </x:row>
    <x:row r="24" ht="32" customHeight="1">
      <x:c r="A24" s="132" t="str">
        <x:v>Metric</x:v>
      </x:c>
      <x:c r="B24" s="133"/>
      <x:c r="C24" s="2" t="str">
        <x:v>Value</x:v>
      </x:c>
      <x:c r="D24"/>
      <x:c r="E24" s="2" t="str">
        <x:v>Role</x:v>
      </x:c>
      <x:c r="F24" s="2" t="str">
        <x:v>BLS</x:v>
      </x:c>
      <x:c r="G24" s="2" t="str">
        <x:v>Advanced module</x:v>
      </x:c>
      <x:c r="H24" s="2" t="str">
        <x:v>Premium module</x:v>
      </x:c>
      <x:c r="I24"/>
      <x:c r="J24"/>
      <x:c r="K24" s="44" t="str">
        <x:v>Core platform access (offline capable)
</x:v>
      </x:c>
      <x:c r="L24"/>
      <x:c r="M24" s="116" t="str">
        <x:v>Storage Tier 1 (annual fee) 
Activation + Training (Year 1 one-time)</x:v>
      </x:c>
      <x:c r="N24" s="102"/>
      <x:c r="T24" s="41"/>
      <x:c r="U24" s="41"/>
      <x:c r="V24" s="41"/>
      <x:c r="W24" s="41"/>
    </x:row>
    <x:row r="25" ht="32" customHeight="1">
      <x:c r="A25" s="120" t="str">
        <x:v>Current burn (annual)</x:v>
      </x:c>
      <x:c r="B25" s="104"/>
      <x:c r="C25" s="10" t="n">
        <x:f>Inputs!$B$8</x:f>
        <x:v>952000</x:v>
      </x:c>
      <x:c r="D25"/>
      <x:c r="E25" s="39" t="str">
        <x:v>Field User</x:v>
      </x:c>
      <x:c r="F25" s="40" t="n">
        <x:f>IF(Inputs!$B$14="Flat",Inputs!$B$15*(1+Inputs!$B$45)*12,Inputs!$B$16*(1+Inputs!$B$45)*12)</x:f>
        <x:v>4740</x:v>
      </x:c>
      <x:c r="G25" s="40" t="n">
        <x:f>(IF(Inputs!$B$14="Flat",Inputs!$B$15*(1+Inputs!$B$45)*12,Inputs!$B$16*(1+Inputs!$B$45)*12)+Inputs!$B$20*(1+Inputs!$B$46)*12)</x:f>
        <x:v>6060</x:v>
      </x:c>
      <x:c r="H25" s="40" t="n">
        <x:f>(IF(Inputs!$B$14="Flat",Inputs!$B$15*(1+Inputs!$B$45)*12,Inputs!$B$16*(1+Inputs!$B$45)*12)+Inputs!$B$20*(1+Inputs!$B$46)*12+Inputs!$B$21*(1+Inputs!$B$47)*12)</x:f>
        <x:v>7980</x:v>
      </x:c>
      <x:c r="I25"/>
      <x:c r="J25"/>
      <x:c r="K25" s="44" t="str">
        <x:v>Standard support + base storage included
</x:v>
      </x:c>
      <x:c r="L25"/>
      <x:c r="M25" s="116" t="str">
        <x:v>API integration (read / read+write)</x:v>
      </x:c>
      <x:c r="N25" s="102"/>
      <x:c r="T25" s="42"/>
      <x:c r="U25" s="42"/>
      <x:c r="V25" s="42"/>
      <x:c r="W25" s="42"/>
    </x:row>
    <x:row r="26" ht="32" customHeight="1">
      <x:c r="A26" s="120" t="str">
        <x:v>Capacity (users)</x:v>
      </x:c>
      <x:c r="B26" s="104"/>
      <x:c r="C26" s="10" t="n">
        <x:f>Inputs!$B$9</x:f>
        <x:v>270</x:v>
      </x:c>
      <x:c r="D26"/>
      <x:c r="E26" s="3" t="str">
        <x:v>Team Admin</x:v>
      </x:c>
      <x:c r="F26" s="10" t="n">
        <x:f>IF(Inputs!$B$14="Flat",Inputs!$B$15*(1+Inputs!$B$45)*12,Inputs!$B$17*(1+Inputs!$B$45)*12)</x:f>
        <x:v>5400</x:v>
      </x:c>
      <x:c r="G26" s="31" t="str">
        <x:v>-</x:v>
      </x:c>
      <x:c r="H26" s="31" t="str">
        <x:v>-</x:v>
      </x:c>
      <x:c r="I26"/>
      <x:c r="J26"/>
      <x:c r="K26" s="44" t="str">
        <x:v>Read-only viewers are free (not monetized)</x:v>
      </x:c>
      <x:c r="L26"/>
      <x:c r="M26" s="116" t="str">
        <x:v>Custom report branding
</x:v>
      </x:c>
      <x:c r="N26" s="102"/>
      <x:c r="T26" s="43"/>
      <x:c r="U26" s="43"/>
      <x:c r="V26" s="43"/>
      <x:c r="W26" s="43"/>
    </x:row>
    <x:row r="27" ht="16" customHeight="1">
      <x:c r="A27" s="120" t="str">
        <x:v>Breakeven users (Typical ARPU)</x:v>
      </x:c>
      <x:c r="B27" s="104"/>
      <x:c r="C27" s="10" t="n">
        <x:f>Breakeven_Sensitivity!B6</x:f>
        <x:v>105.84677419354838</x:v>
      </x:c>
      <x:c r="D27"/>
      <x:c r="E27" s="3" t="str">
        <x:v>Operations Admin</x:v>
      </x:c>
      <x:c r="F27" s="10" t="n">
        <x:f>IF(Inputs!$B$14="Flat",Inputs!$B$15*(1+Inputs!$B$45)*12,Inputs!$B$18*(1+Inputs!$B$45)*12)</x:f>
        <x:v>6480</x:v>
      </x:c>
      <x:c r="G27" s="31" t="str">
        <x:v>-</x:v>
      </x:c>
      <x:c r="H27" s="31" t="str">
        <x:v>-</x:v>
      </x:c>
      <x:c r="I27"/>
      <x:c r="J27"/>
      <x:c r="K27"/>
      <x:c r="L27"/>
      <x:c r="M27" s="116" t="str">
        <x:v>On‑prem setup + annual maintenance (tiered)</x:v>
      </x:c>
      <x:c r="N27" s="102"/>
    </x:row>
    <x:row r="28" ht="32" customHeight="1">
      <x:c r="A28" s="120" t="str">
        <x:v>Breakeven small operators (Small_15_Core)</x:v>
      </x:c>
      <x:c r="B28" s="104"/>
      <x:c r="C28" s="34" t="n">
        <x:f>Breakeven_Sensitivity!B15</x:f>
        <x:v>11.795024283873525</x:v>
      </x:c>
      <x:c r="D28"/>
      <x:c r="E28" s="3" t="str">
        <x:v>Executive Approver</x:v>
      </x:c>
      <x:c r="F28" s="10" t="n">
        <x:f>IF(Inputs!$B$14="Flat",Inputs!$B$15*(1+Inputs!$B$45)*12,Inputs!$B$19*(1+Inputs!$B$45)*12)</x:f>
        <x:v>7560</x:v>
      </x:c>
      <x:c r="G28" s="31" t="str">
        <x:v>-</x:v>
      </x:c>
      <x:c r="H28" s="31" t="str">
        <x:v>-</x:v>
      </x:c>
      <x:c r="I28"/>
      <x:c r="J28"/>
      <x:c r="K28"/>
      <x:c r="L28"/>
      <x:c r="M28" s="116" t="str">
        <x:v>Critical Care uplift per clinical user (monthly, billed annually)</x:v>
      </x:c>
      <x:c r="N28" s="102"/>
    </x:row>
    <x:row r="29" ht="32" customHeight="1">
      <x:c r="A29" s="120" t="str">
        <x:v>Breakeven large operators (Large_50_Core)</x:v>
      </x:c>
      <x:c r="B29" s="104"/>
      <x:c r="C29" s="34" t="n">
        <x:f>Breakeven_Sensitivity!B16</x:f>
        <x:v>3.2496846747669834</x:v>
      </x:c>
      <x:c r="D29"/>
      <x:c r="E29" s="3" t="str">
        <x:v>Read-only viewer</x:v>
      </x:c>
      <x:c r="F29" s="31" t="str">
        <x:v>0</x:v>
      </x:c>
      <x:c r="G29" s="31" t="str">
        <x:v>0</x:v>
      </x:c>
      <x:c r="H29" s="31" t="str">
        <x:v>0</x:v>
      </x:c>
      <x:c r="I29"/>
      <x:c r="J29"/>
      <x:c r="K29"/>
      <x:c r="L29"/>
      <x:c r="M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</x:row>
    <x:row r="31" ht="15" customHeight="1">
      <x:c r="A31" s="130" t="str">
        <x:v>Pricing grid (inputs rendered as a price sheet)</x:v>
      </x:c>
      <x:c r="B31" s="109"/>
      <x:c r="C31" s="109"/>
      <x:c r="D31" s="109"/>
      <x:c r="E31"/>
      <x:c r="F31" s="121" t="str">
        <x:v>Service add-ons (derived from per-user pricing)</x:v>
      </x:c>
      <x:c r="G31" s="109"/>
      <x:c r="H31" s="109"/>
      <x:c r="I31" s="109"/>
      <x:c r="J31"/>
      <x:c r="K31" s="126" t="str">
        <x:v>Key prices (net):</x:v>
      </x:c>
      <x:c r="L31" s="102"/>
      <x:c r="M31" s="102"/>
      <x:c r="N31" s="102"/>
      <x:c r="O31" s="44"/>
      <x:c r="S31" s="44"/>
    </x:row>
    <x:row r="32" ht="32" customHeight="1">
      <x:c r="A32" s="3" t="str">
        <x:v>Base price per user / year (net)</x:v>
      </x:c>
      <x:c r="B32" s="10" t="n">
        <x:f>IF(Inputs!$B$14="Flat",Inputs!$B$15*(1+Inputs!$B$45)*12,Inputs!$B$16*(1+Inputs!$B$45)*12)</x:f>
        <x:v>4740</x:v>
      </x:c>
      <x:c r="C32" s="10" t="n">
        <x:f>IF(Inputs!$B$14="Flat",Inputs!$B$15*(1+Inputs!$B$45)*12,Inputs!$B$16*(1+Inputs!$B$45)*12)</x:f>
        <x:v>4740</x:v>
      </x:c>
      <x:c r="D32" s="10" t="n">
        <x:f>IF(Inputs!$B$14="Flat",Inputs!$B$15*(1+Inputs!$B$45)*12,Inputs!$B$16*(1+Inputs!$B$45)*12)</x:f>
        <x:v>4740</x:v>
      </x:c>
      <x:c r="E32"/>
      <x:c r="F32" s="2" t="str">
        <x:v>Add-on</x:v>
      </x:c>
      <x:c r="G32" s="2" t="str">
        <x:v>Users composition</x:v>
      </x:c>
      <x:c r="H32" s="2" t="str">
        <x:v>Net annual price</x:v>
      </x:c>
      <x:c r="I32" s="2" t="str">
        <x:v>Gross annual price</x:v>
      </x:c>
      <x:c r="J32"/>
      <x:c r="K32" s="45" t="n">
        <x:f>Inputs!$B$15</x:f>
        <x:v>315</x:v>
      </x:c>
      <x:c r="L32" s="116" t="str">
        <x:v>USD/user/mo (BLS base)</x:v>
      </x:c>
      <x:c r="M32" s="102"/>
      <x:c r="O32" s="44"/>
      <x:c r="P32" s="44"/>
      <x:c r="Q32" s="44"/>
      <x:c r="R32" s="44"/>
      <x:c r="S32" s="44"/>
    </x:row>
    <x:row r="33" ht="16" customHeight="1">
      <x:c r="A33" s="3" t="str">
        <x:v>Advanced uplift per user / year (net)</x:v>
      </x:c>
      <x:c r="B33" s="31" t="str">
        <x:v>-</x:v>
      </x:c>
      <x:c r="C33" s="10" t="n">
        <x:f>Inputs!$B$20*(1+Inputs!$B$46)*12</x:f>
        <x:v>1320</x:v>
      </x:c>
      <x:c r="D33" s="10" t="n">
        <x:f>Inputs!$B$20*(1+Inputs!$B$46)*12</x:f>
        <x:v>1320</x:v>
      </x:c>
      <x:c r="E33"/>
      <x:c r="F33" s="3" t="str">
        <x:v>Field Team package</x:v>
      </x:c>
      <x:c r="G33" s="3" t="str">
        <x:v>6 Field Users</x:v>
      </x:c>
      <x:c r="H33" s="10" t="n">
        <x:f>6*(IF(Inputs!$B$14="Flat",Inputs!$B$15*(1+Inputs!$B$45)*12,Inputs!$B$16*(1+Inputs!$B$45)*12))</x:f>
        <x:v>28440</x:v>
      </x:c>
      <x:c r="I33" s="10" t="n">
        <x:f>H33*(1+Inputs!$B$5)</x:f>
        <x:v>31284.000000000004</x:v>
      </x:c>
      <x:c r="J33"/>
      <x:c r="K33" s="45" t="n">
        <x:f>Inputs!$B$20</x:f>
        <x:v>110</x:v>
      </x:c>
      <x:c r="L33" s="116" t="str">
        <x:v>USD/user/mo (Advanced uplift)</x:v>
      </x:c>
      <x:c r="M33" s="102"/>
      <x:c r="O33" s="44"/>
      <x:c r="P33" s="44"/>
      <x:c r="Q33" s="44"/>
      <x:c r="R33" s="44"/>
      <x:c r="S33" s="125"/>
      <x:c r="T33" s="102"/>
      <x:c r="U33" s="102"/>
      <x:c r="V33" s="102"/>
      <x:c r="W33" s="102"/>
    </x:row>
    <x:row r="34" ht="32" customHeight="1">
      <x:c r="A34" s="3" t="str">
        <x:v>Premium uplift per user / year (net)</x:v>
      </x:c>
      <x:c r="B34" s="31" t="str">
        <x:v>-</x:v>
      </x:c>
      <x:c r="C34" s="31" t="str">
        <x:v>-</x:v>
      </x:c>
      <x:c r="D34" s="10" t="n">
        <x:f>Inputs!$B$21*(1+Inputs!$B$47)*12</x:f>
        <x:v>1920</x:v>
      </x:c>
      <x:c r="E34"/>
      <x:c r="F34" s="3" t="str">
        <x:v>Team package</x:v>
      </x:c>
      <x:c r="G34" s="3" t="str">
        <x:v>1 Team Admin + 6 Field Users</x:v>
      </x:c>
      <x:c r="H34" s="10" t="n">
        <x:f>(6*(IF(Inputs!$B$14="Flat",Inputs!$B$15*(1+Inputs!$B$45)*12,Inputs!$B$16*(1+Inputs!$B$45)*12))+1*(IF(Inputs!$B$14="Flat",Inputs!$B$15*(1+Inputs!$B$45)*12,Inputs!$B$17*(1+Inputs!$B$45)*12)))</x:f>
        <x:v>33840</x:v>
      </x:c>
      <x:c r="I34" s="10" t="n">
        <x:f>H34*(1+Inputs!$B$5)</x:f>
        <x:v>37224</x:v>
      </x:c>
      <x:c r="J34"/>
      <x:c r="K34" s="45" t="n">
        <x:f>Inputs!$B$21</x:f>
        <x:v>160</x:v>
      </x:c>
      <x:c r="L34" s="116" t="str">
        <x:v>USD/user/mo (Premium uplift)</x:v>
      </x:c>
      <x:c r="M34" s="102"/>
      <x:c r="P34" s="44"/>
      <x:c r="W34" s="44"/>
    </x:row>
    <x:row r="35" ht="16" customHeight="1">
      <x:c r="A35" s="3" t="str">
        <x:v>Base price per user / year (gross)</x:v>
      </x:c>
      <x:c r="B35" s="10" t="n">
        <x:f>(IF(Inputs!$B$14="Flat",Inputs!$B$15*(1+Inputs!$B$45)*12,Inputs!$B$16*(1+Inputs!$B$45)*12))*(1+Inputs!$B$5)</x:f>
        <x:v>5214</x:v>
      </x:c>
      <x:c r="C35" s="10" t="n">
        <x:f>(IF(Inputs!$B$14="Flat",Inputs!$B$15*(1+Inputs!$B$45)*12,Inputs!$B$16*(1+Inputs!$B$45)*12)+Inputs!$B$20*(1+Inputs!$B$46)*12)*(1+Inputs!$B$5)</x:f>
        <x:v>6666.000000000001</x:v>
      </x:c>
      <x:c r="D35" s="10" t="n">
        <x:f>(IF(Inputs!$B$14="Flat",Inputs!$B$15*(1+Inputs!$B$45)*12,Inputs!$B$16*(1+Inputs!$B$45)*12)+Inputs!$B$20*(1+Inputs!$B$46)*12+Inputs!$B$21*(1+Inputs!$B$47)*12)*(1+Inputs!$B$5)</x:f>
        <x:v>8778</x:v>
      </x:c>
      <x:c r="E35"/>
      <x:c r="F35"/>
      <x:c r="G35"/>
      <x:c r="H35"/>
      <x:c r="I35"/>
      <x:c r="J35"/>
      <x:c r="K35"/>
      <x:c r="L35"/>
      <x:c r="M35"/>
    </x:row>
    <x:row r="37" ht="22" customHeight="1">
      <x:c r="A37" s="419" t="str">
        <x:v>Need this built around your actual pricing architecture?  keinekratzer.com/contact</x:v>
      </x:c>
      <x:c r="B37" s="419"/>
      <x:c r="C37" s="419"/>
      <x:c r="D37" s="419"/>
      <x:c r="E37" s="419"/>
      <x:c r="F37" s="419"/>
      <x:c r="G37" s="419"/>
      <x:c r="H37" s="419"/>
      <x:c r="I37" s="419"/>
      <x:c r="J37" s="419"/>
      <x:c r="K37" s="419"/>
      <x:c r="L37" s="419"/>
      <x:c r="M37" s="419"/>
    </x:row>
  </x:sheetData>
  <x:mergeCells>
    <x:mergeCell ref="L34:M34"/>
    <x:mergeCell ref="A29:B29"/>
    <x:mergeCell ref="M23:N23"/>
    <x:mergeCell ref="A28:B28"/>
    <x:mergeCell ref="A2:M2"/>
    <x:mergeCell ref="A23:C23"/>
    <x:mergeCell ref="A16:H16"/>
    <x:mergeCell ref="G19:H19"/>
    <x:mergeCell ref="K9:N9"/>
    <x:mergeCell ref="G21:H21"/>
    <x:mergeCell ref="F31:I31"/>
    <x:mergeCell ref="A24:B24"/>
    <x:mergeCell ref="K14:N14"/>
    <x:mergeCell ref="L32:M32"/>
    <x:mergeCell ref="S33:W33"/>
    <x:mergeCell ref="M27:N27"/>
    <x:mergeCell ref="A5:H5"/>
    <x:mergeCell ref="M26:N26"/>
    <x:mergeCell ref="K15:M15"/>
    <x:mergeCell ref="K31:N31"/>
    <x:mergeCell ref="M24:N24"/>
    <x:mergeCell ref="G20:H20"/>
    <x:mergeCell ref="L33:M33"/>
    <x:mergeCell ref="M22:N22"/>
    <x:mergeCell ref="K7:N7"/>
    <x:mergeCell ref="G17:H17"/>
    <x:mergeCell ref="K8:M8"/>
    <x:mergeCell ref="A31:D31"/>
    <x:mergeCell ref="K18:N18"/>
    <x:mergeCell ref="A25:B25"/>
    <x:mergeCell ref="A1:M1"/>
    <x:mergeCell ref="K10:M10"/>
    <x:mergeCell ref="K6:M6"/>
    <x:mergeCell ref="K13:M13"/>
    <x:mergeCell ref="M28:N28"/>
    <x:mergeCell ref="K11:N11"/>
    <x:mergeCell ref="K20:N20"/>
    <x:mergeCell ref="K5:N5"/>
    <x:mergeCell ref="A26:B26"/>
    <x:mergeCell ref="M25:N25"/>
    <x:mergeCell ref="E23:H23"/>
    <x:mergeCell ref="M21:N21"/>
    <x:mergeCell ref="K16:N16"/>
    <x:mergeCell ref="K17:M17"/>
    <x:mergeCell ref="G18:H18"/>
    <x:mergeCell ref="A27:B27"/>
    <x:mergeCell ref="A37:M3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26.1640625" defaultRowHeight="15"/>
  <x:cols>
    <x:col min="1" max="1" width="25.1640625" style="36" customWidth="1"/>
    <x:col min="2" max="2" width="26.6640625" style="36" customWidth="1"/>
    <x:col min="3" max="3" width="28.83203125" style="36" customWidth="1"/>
    <x:col min="4" max="4" width="28.1640625" style="36" customWidth="1"/>
    <x:col min="5" max="5" width="30" style="36" customWidth="1"/>
    <x:col min="6" max="6" width="25.6640625" style="36" customWidth="1"/>
    <x:col min="7" max="7" width="26.6640625" style="36" customWidth="1"/>
    <x:col min="8" max="8" width="23.33203125" style="36" customWidth="1"/>
    <x:col min="9" max="9" width="26.1640625" style="36" customWidth="0"/>
    <x:col min="10" max="10" width="30.33203125" style="36" customWidth="1"/>
    <x:col min="11" max="11" width="9.1640625" style="36" customWidth="1"/>
    <x:col min="12" max="12" width="10.33203125" style="36" customWidth="1"/>
    <x:col min="13" max="13" width="12.83203125" style="36" customWidth="1"/>
    <x:col min="14" max="14" width="6.5" style="36" customWidth="1"/>
    <x:col min="15" max="16384" width="26.1640625" style="36" customWidth="0"/>
  </x:cols>
  <x:sheetData>
    <x:row r="1" ht="19">
      <x:c r="A1" s="139" t="str">
        <x:v>Workshop Extras 2 — comparison tables</x:v>
      </x:c>
      <x:c r="B1" s="139"/>
      <x:c r="C1" s="139"/>
      <x:c r="D1" s="139"/>
      <x:c r="E1" s="139"/>
      <x:c r="F1" s="139"/>
      <x:c r="G1" s="139"/>
      <x:c r="H1"/>
      <x:c r="I1"/>
      <x:c r="J1" s="87" t="str">
        <x:v>Helper — scenario pulls</x:v>
      </x:c>
      <x:c r="K1"/>
      <x:c r="L1"/>
      <x:c r="M1"/>
      <x:c r="N1"/>
    </x:row>
    <x:row r="2" ht="19" customHeight="1">
      <x:c r="A2" s="140" t="str">
        <x:v>Blue cells = assumptions to tweak during workshop. White cells = formulas.</x:v>
      </x:c>
      <x:c r="B2" s="140"/>
      <x:c r="C2" s="140"/>
      <x:c r="D2" s="140"/>
      <x:c r="E2" s="140"/>
      <x:c r="F2" s="140"/>
      <x:c r="G2" s="140"/>
      <x:c r="H2"/>
      <x:c r="I2"/>
      <x:c r="J2"/>
      <x:c r="K2" s="87"/>
      <x:c r="L2" s="87"/>
      <x:c r="M2" s="87"/>
      <x:c r="N2" s="87"/>
      <x:c r="O2" s="87"/>
      <x:c r="P2" s="87"/>
    </x:row>
    <x:row r="3">
      <x:c r="A3" s="44"/>
      <x:c r="B3" s="44"/>
      <x:c r="C3" s="44"/>
      <x:c r="D3" s="44"/>
      <x:c r="E3" s="44"/>
      <x:c r="F3" s="44"/>
      <x:c r="G3" s="44"/>
      <x:c r="H3"/>
      <x:c r="I3"/>
      <x:c r="J3"/>
      <x:c r="K3" s="44"/>
      <x:c r="L3" s="44"/>
      <x:c r="M3" s="44"/>
      <x:c r="N3" s="44"/>
    </x:row>
    <x:row r="4" ht="16">
      <x:c r="A4" s="136" t="str">
        <x:v>1) Early adopter program — margin impact</x:v>
      </x:c>
      <x:c r="B4" s="137"/>
      <x:c r="C4" s="137"/>
      <x:c r="D4" s="137"/>
      <x:c r="E4" s="137"/>
      <x:c r="F4" s="137"/>
      <x:c r="G4" s="137"/>
      <x:c r="H4" s="137"/>
      <x:c r="I4"/>
      <x:c r="J4" s="65" t="str">
        <x:v>Scenario ID</x:v>
      </x:c>
      <x:c r="K4" s="65" t="str">
        <x:v>Net Y1</x:v>
      </x:c>
      <x:c r="L4" s="65" t="str">
        <x:v>Net Y2</x:v>
      </x:c>
      <x:c r="M4" s="65" t="str">
        <x:v>Recurring Y1</x:v>
      </x:c>
      <x:c r="N4" s="65" t="str">
        <x:v>Users</x:v>
      </x:c>
    </x:row>
    <x:row r="5" ht="16">
      <x:c r="A5" s="66" t="str">
        <x:v>Option</x:v>
      </x:c>
      <x:c r="B5" s="66" t="str">
        <x:v>Mechanic</x:v>
      </x:c>
      <x:c r="C5" s="66" t="str">
        <x:v>Small_15_Core impact</x:v>
      </x:c>
      <x:c r="D5" s="66" t="str">
        <x:v>Typical_30 impact</x:v>
      </x:c>
      <x:c r="E5" s="66" t="str">
        <x:v>Large_50_Core impact</x:v>
      </x:c>
      <x:c r="F5" s="66" t="str">
        <x:v>Cost to us</x:v>
      </x:c>
      <x:c r="G5" s="141" t="str">
        <x:v>Comment</x:v>
      </x:c>
      <x:c r="H5" s="142"/>
      <x:c r="I5"/>
      <x:c r="J5" s="67" t="str">
        <x:v>Small_15_Core</x:v>
      </x:c>
      <x:c r="K5" s="67" t="n">
        <x:f>_xlfn.XLOOKUP(J5,Pricing_Model!$A:$A,Pricing_Model!$X:$X,"")</x:f>
        <x:v>116712</x:v>
      </x:c>
      <x:c r="L5" s="67" t="n">
        <x:f>_xlfn.XLOOKUP(J5,Pricing_Model!$A:$A,Pricing_Model!$AA:$AA,"")</x:f>
        <x:v>82326.24</x:v>
      </x:c>
      <x:c r="M5" s="67" t="n">
        <x:f>_xlfn.XLOOKUP(J5,Pricing_Model!$A:$A,Pricing_Model!$W:$W,"")</x:f>
        <x:v>80712</x:v>
      </x:c>
      <x:c r="N5" s="67" t="n">
        <x:f>_xlfn.XLOOKUP(J5,Pricing_Model!$A:$A,Pricing_Model!$B:$B,"")</x:f>
        <x:v>14</x:v>
      </x:c>
    </x:row>
    <x:row r="6" ht="48" customHeight="1">
      <x:c r="A6" s="68" t="str">
        <x:v>Locked pricing for 2 years</x:v>
      </x:c>
      <x:c r="B6" s="69" t="str">
        <x:v>No renewal uplift in Y2</x:v>
      </x:c>
      <x:c r="C6" s="69" t="n">
        <x:f>-(L5-M5)</x:f>
        <x:v>-1614.2400000000052</x:v>
      </x:c>
      <x:c r="D6" s="69" t="n">
        <x:f>-(L6-M6)</x:f>
        <x:v>-3456.4800000000105</x:v>
      </x:c>
      <x:c r="E6" s="69" t="n">
        <x:f>-(L7-M7)</x:f>
        <x:v>-5859.030000000028</x:v>
      </x:c>
      <x:c r="F6" s="69" t="n">
        <x:f>-SUM(C6:E6)</x:f>
        <x:v>10929.750000000044</x:v>
      </x:c>
      <x:c r="G6" s="143" t="str">
        <x:v>Protects buyer confidence, reduces Y2 upside</x:v>
      </x:c>
      <x:c r="H6" s="116"/>
      <x:c r="I6"/>
      <x:c r="J6" s="67" t="str">
        <x:v>Typical_30</x:v>
      </x:c>
      <x:c r="K6" s="67" t="n">
        <x:f>_xlfn.XLOOKUP(J6,Pricing_Model!$A:$A,Pricing_Model!$X:$X,"")</x:f>
        <x:v>269824</x:v>
      </x:c>
      <x:c r="L6" s="67" t="n">
        <x:f>_xlfn.XLOOKUP(J6,Pricing_Model!$A:$A,Pricing_Model!$AA:$AA,"")</x:f>
        <x:v>176280.48</x:v>
      </x:c>
      <x:c r="M6" s="67" t="n">
        <x:f>_xlfn.XLOOKUP(J6,Pricing_Model!$A:$A,Pricing_Model!$W:$W,"")</x:f>
        <x:v>172824</x:v>
      </x:c>
      <x:c r="N6" s="67" t="n">
        <x:f>_xlfn.XLOOKUP(J6,Pricing_Model!$A:$A,Pricing_Model!$B:$B,"")</x:f>
        <x:v>27</x:v>
      </x:c>
    </x:row>
    <x:row r="7" ht="32">
      <x:c r="A7" s="68" t="str">
        <x:v>One free module</x:v>
      </x:c>
      <x:c r="B7" s="69" t="str">
        <x:v>Use ALS as the free module proxy</x:v>
      </x:c>
      <x:c r="C7" s="69" t="n">
        <x:f>-(K8-K5)</x:f>
        <x:v>-8208</x:v>
      </x:c>
      <x:c r="D7" s="69" t="n">
        <x:v>-14400</x:v>
      </x:c>
      <x:c r="E7" s="69" t="n">
        <x:f>-(K9-K7)</x:f>
        <x:v>-40992</x:v>
      </x:c>
      <x:c r="F7" s="69" t="n">
        <x:f>-SUM(C7:E7)</x:f>
        <x:v>63600</x:v>
      </x:c>
      <x:c r="G7" s="143" t="str">
        <x:v>Good perceived value, selective margin hit</x:v>
      </x:c>
      <x:c r="H7" s="116"/>
      <x:c r="I7"/>
      <x:c r="J7" s="67" t="str">
        <x:v>Large_50_Core</x:v>
      </x:c>
      <x:c r="K7" s="67" t="n">
        <x:f>_xlfn.XLOOKUP(J7,Pricing_Model!$A:$A,Pricing_Model!$X:$X,"")</x:f>
        <x:v>450951.5</x:v>
      </x:c>
      <x:c r="L7" s="67" t="n">
        <x:f>_xlfn.XLOOKUP(J7,Pricing_Model!$A:$A,Pricing_Model!$AA:$AA,"")</x:f>
        <x:v>298810.53</x:v>
      </x:c>
      <x:c r="M7" s="67" t="n">
        <x:f>_xlfn.XLOOKUP(J7,Pricing_Model!$A:$A,Pricing_Model!$W:$W,"")</x:f>
        <x:v>292951.5</x:v>
      </x:c>
      <x:c r="N7" s="67" t="n">
        <x:f>_xlfn.XLOOKUP(J7,Pricing_Model!$A:$A,Pricing_Model!$B:$B,"")</x:f>
        <x:v>45</x:v>
      </x:c>
    </x:row>
    <x:row r="8" ht="48" customHeight="1">
      <x:c r="A8" s="68" t="str">
        <x:v>Flat 5% discount</x:v>
      </x:c>
      <x:c r="B8" s="69" t="str">
        <x:v>Extra 5% off current net Y1</x:v>
      </x:c>
      <x:c r="C8" s="69" t="n">
        <x:f>-K5*5%</x:f>
        <x:v>-5835.6</x:v>
      </x:c>
      <x:c r="D8" s="69" t="n">
        <x:f>-K6*5%</x:f>
        <x:v>-13491.2</x:v>
      </x:c>
      <x:c r="E8" s="69" t="n">
        <x:f>-K7*5%</x:f>
        <x:v>-22547.575</x:v>
      </x:c>
      <x:c r="F8" s="69" t="n">
        <x:f>-SUM(C8:E8)</x:f>
        <x:v>41874.375</x:v>
      </x:c>
      <x:c r="G8" s="143" t="str">
        <x:v>Easiest to explain, cleanest but direct margin give-up</x:v>
      </x:c>
      <x:c r="H8" s="116"/>
      <x:c r="I8"/>
      <x:c r="J8" s="67" t="str">
        <x:v>Small_15_Advanced</x:v>
      </x:c>
      <x:c r="K8" s="67" t="n">
        <x:f>_xlfn.XLOOKUP(J8,Pricing_Model!$A:$A,Pricing_Model!$X:$X,"")</x:f>
        <x:v>124920</x:v>
      </x:c>
      <x:c r="L8" s="67" t="n">
        <x:f>_xlfn.XLOOKUP(J8,Pricing_Model!$A:$A,Pricing_Model!$AA:$AA,"")</x:f>
        <x:v>90698.40000000001</x:v>
      </x:c>
      <x:c r="M8" s="67" t="n">
        <x:f>_xlfn.XLOOKUP(J8,Pricing_Model!$A:$A,Pricing_Model!$W:$W,"")</x:f>
        <x:v>88920</x:v>
      </x:c>
      <x:c r="N8" s="67" t="n">
        <x:f>_xlfn.XLOOKUP(J8,Pricing_Model!$A:$A,Pricing_Model!$B:$B,"")</x:f>
        <x:v>14</x:v>
      </x:c>
    </x:row>
    <x:row r="9" ht="16">
      <x:c r="A9" s="44"/>
      <x:c r="B9" s="45"/>
      <x:c r="C9" s="45"/>
      <x:c r="D9" s="45"/>
      <x:c r="E9" s="45"/>
      <x:c r="F9" s="45"/>
      <x:c r="G9" s="44"/>
      <x:c r="H9"/>
      <x:c r="I9"/>
      <x:c r="J9" s="67" t="str">
        <x:v>Large_50_Advanced</x:v>
      </x:c>
      <x:c r="K9" s="67" t="n">
        <x:f>_xlfn.XLOOKUP(J9,Pricing_Model!$A:$A,Pricing_Model!$X:$X,"")</x:f>
        <x:v>491943.5</x:v>
      </x:c>
      <x:c r="L9" s="67" t="n">
        <x:f>_xlfn.XLOOKUP(J9,Pricing_Model!$A:$A,Pricing_Model!$AA:$AA,"")</x:f>
        <x:v>325322.37</x:v>
      </x:c>
      <x:c r="M9" s="67" t="n">
        <x:f>_xlfn.XLOOKUP(J9,Pricing_Model!$A:$A,Pricing_Model!$W:$W,"")</x:f>
        <x:v>318943.5</x:v>
      </x:c>
      <x:c r="N9" s="67" t="n">
        <x:f>_xlfn.XLOOKUP(J9,Pricing_Model!$A:$A,Pricing_Model!$B:$B,"")</x:f>
        <x:v>45</x:v>
      </x:c>
    </x:row>
    <x:row r="10" ht="16">
      <x:c r="A10" s="136" t="str">
        <x:v>2) Payment terms — fee impact and cash timing</x:v>
      </x:c>
      <x:c r="B10" s="137"/>
      <x:c r="C10" s="137"/>
      <x:c r="D10" s="137"/>
      <x:c r="E10" s="137"/>
      <x:c r="F10" s="137"/>
      <x:c r="G10" s="137"/>
      <x:c r="H10" s="137"/>
      <x:c r="I10"/>
      <x:c r="J10" s="67" t="str">
        <x:v>Small_15_Premium</x:v>
      </x:c>
      <x:c r="K10" s="67" t="n">
        <x:f>_xlfn.XLOOKUP(J10,Pricing_Model!$A:$A,Pricing_Model!$X:$X,"")</x:f>
        <x:v>139113</x:v>
      </x:c>
      <x:c r="L10" s="67" t="n">
        <x:f>_xlfn.XLOOKUP(J10,Pricing_Model!$A:$A,Pricing_Model!$AA:$AA,"")</x:f>
        <x:v>105175.26</x:v>
      </x:c>
      <x:c r="M10" s="67" t="n">
        <x:f>_xlfn.XLOOKUP(J10,Pricing_Model!$A:$A,Pricing_Model!$W:$W,"")</x:f>
        <x:v>103113</x:v>
      </x:c>
      <x:c r="N10" s="67" t="n">
        <x:f>_xlfn.XLOOKUP(J10,Pricing_Model!$A:$A,Pricing_Model!$B:$B,"")</x:f>
        <x:v>14</x:v>
      </x:c>
    </x:row>
    <x:row r="11" ht="16">
      <x:c r="A11" s="86" t="str">
        <x:v>Base scenario:</x:v>
      </x:c>
      <x:c r="B11" s="72" t="str">
        <x:v>Typical_30</x:v>
      </x:c>
      <x:c r="C11"/>
      <x:c r="D11"/>
      <x:c r="E11"/>
      <x:c r="F11"/>
      <x:c r="G11" s="44"/>
      <x:c r="H11" s="44"/>
      <x:c r="I11"/>
      <x:c r="J11" s="67" t="str">
        <x:v>Large_50_Premium</x:v>
      </x:c>
      <x:c r="K11" s="67" t="n">
        <x:f>_xlfn.XLOOKUP(J11,Pricing_Model!$A:$A,Pricing_Model!$X:$X,"")</x:f>
        <x:v>703855</x:v>
      </x:c>
      <x:c r="L11" s="67" t="n">
        <x:f>_xlfn.XLOOKUP(J11,Pricing_Model!$A:$A,Pricing_Model!$AA:$AA,"")</x:f>
        <x:v>436922.10000000003</x:v>
      </x:c>
      <x:c r="M11" s="67" t="n">
        <x:f>_xlfn.XLOOKUP(J11,Pricing_Model!$A:$A,Pricing_Model!$W:$W,"")</x:f>
        <x:v>428355</x:v>
      </x:c>
      <x:c r="N11" s="67" t="n">
        <x:f>_xlfn.XLOOKUP(J11,Pricing_Model!$A:$A,Pricing_Model!$B:$B,"")</x:f>
        <x:v>45</x:v>
      </x:c>
    </x:row>
    <x:row r="12" ht="16">
      <x:c r="A12" s="86" t="str">
        <x:v>Card fee:</x:v>
      </x:c>
      <x:c r="B12" s="72" t="n">
        <x:v>0.03</x:v>
      </x:c>
      <x:c r="C12"/>
      <x:c r="D12"/>
      <x:c r="E12"/>
      <x:c r="F12"/>
      <x:c r="G12" s="44"/>
      <x:c r="H12" s="44"/>
      <x:c r="I12"/>
      <x:c r="J12" s="67" t="str">
        <x:v>Entry_8</x:v>
      </x:c>
      <x:c r="K12" s="67" t="n">
        <x:f>_xlfn.XLOOKUP(J12,Pricing_Model!$A:$A,Pricing_Model!$X:$X,"")</x:f>
        <x:v>58880</x:v>
      </x:c>
      <x:c r="L12" s="67" t="n">
        <x:f>_xlfn.XLOOKUP(J12,Pricing_Model!$A:$A,Pricing_Model!$AA:$AA,"")</x:f>
        <x:v>43329.6</x:v>
      </x:c>
      <x:c r="M12" s="67" t="n">
        <x:f>_xlfn.XLOOKUP(J12,Pricing_Model!$A:$A,Pricing_Model!$W:$W,"")</x:f>
        <x:v>42480</x:v>
      </x:c>
      <x:c r="N12" s="67" t="n">
        <x:f>_xlfn.XLOOKUP(J12,Pricing_Model!$A:$A,Pricing_Model!$B:$B,"")</x:f>
        <x:v>8</x:v>
      </x:c>
    </x:row>
    <x:row r="13" ht="16">
      <x:c r="A13" s="86" t="str">
        <x:v>Net Y1:</x:v>
      </x:c>
      <x:c r="B13" s="73" t="n">
        <x:f>Breakeven_Sensitivity!H15</x:f>
        <x:v>269824</x:v>
      </x:c>
      <x:c r="C13"/>
      <x:c r="D13"/>
      <x:c r="E13"/>
      <x:c r="F13"/>
      <x:c r="G13" s="44"/>
      <x:c r="H13" s="44"/>
      <x:c r="I13"/>
      <x:c r="J13"/>
      <x:c r="K13"/>
      <x:c r="L13"/>
      <x:c r="M13"/>
      <x:c r="N13"/>
    </x:row>
    <x:row r="14">
      <x:c r="A14"/>
      <x:c r="B14"/>
      <x:c r="C14"/>
      <x:c r="D14"/>
      <x:c r="E14"/>
      <x:c r="F14"/>
      <x:c r="G14" s="44"/>
      <x:c r="H14" s="44"/>
      <x:c r="I14"/>
      <x:c r="J14"/>
      <x:c r="K14"/>
      <x:c r="L14"/>
      <x:c r="M14"/>
      <x:c r="N14"/>
    </x:row>
    <x:row r="15" s="85" customFormat="1">
      <x:c r="A15" s="80" t="str">
        <x:v>Term</x:v>
      </x:c>
      <x:c r="B15" s="80" t="str">
        <x:v>Billing assumption</x:v>
      </x:c>
      <x:c r="C15" s="80" t="str">
        <x:v>Fee impact</x:v>
      </x:c>
      <x:c r="D15" s="80" t="str">
        <x:v>Cash at signature</x:v>
      </x:c>
      <x:c r="E15" s="80" t="str">
        <x:v>Cash by end of Q1</x:v>
      </x:c>
      <x:c r="F15" s="80" t="str">
        <x:v>Cash by year-end</x:v>
      </x:c>
      <x:c r="G15" s="80" t="str">
        <x:v>Net after fees</x:v>
      </x:c>
      <x:c r="H15" s="80" t="str">
        <x:v>Comment</x:v>
      </x:c>
      <x:c r="I15"/>
      <x:c r="J15"/>
      <x:c r="K15"/>
      <x:c r="L15"/>
      <x:c r="M15"/>
      <x:c r="N15"/>
    </x:row>
    <x:row r="16" ht="16">
      <x:c r="A16" s="68" t="str">
        <x:v>Annual upfront</x:v>
      </x:c>
      <x:c r="B16" s="44" t="str">
        <x:v>100% billed at signature</x:v>
      </x:c>
      <x:c r="C16" s="68" t="n">
        <x:f>0</x:f>
        <x:v>0</x:v>
      </x:c>
      <x:c r="D16" s="75" t="n">
        <x:f>B13</x:f>
        <x:v>269824</x:v>
      </x:c>
      <x:c r="E16" s="69" t="n">
        <x:f>B13</x:f>
        <x:v>269824</x:v>
      </x:c>
      <x:c r="F16" s="69" t="n">
        <x:f>B13</x:f>
        <x:v>269824</x:v>
      </x:c>
      <x:c r="G16" s="69" t="n">
        <x:f>B13</x:f>
        <x:v>269824</x:v>
      </x:c>
      <x:c r="H16" s="44" t="str">
        <x:v>Best cashflow</x:v>
      </x:c>
      <x:c r="I16"/>
      <x:c r="J16"/>
      <x:c r="K16"/>
      <x:c r="L16"/>
      <x:c r="M16"/>
      <x:c r="N16"/>
    </x:row>
    <x:row r="17" ht="48" customHeight="1">
      <x:c r="A17" s="68" t="str">
        <x:v>Quarterly</x:v>
      </x:c>
      <x:c r="B17" s="44" t="str">
        <x:v>25% billed each quarter</x:v>
      </x:c>
      <x:c r="C17" s="76" t="n">
        <x:f>B13*$B$12</x:f>
        <x:v>8094.719999999999</x:v>
      </x:c>
      <x:c r="D17" s="75" t="n">
        <x:f>B13/4</x:f>
        <x:v>67456</x:v>
      </x:c>
      <x:c r="E17" s="69" t="n">
        <x:f>B13/4</x:f>
        <x:v>67456</x:v>
      </x:c>
      <x:c r="F17" s="69" t="n">
        <x:f>B13</x:f>
        <x:v>269824</x:v>
      </x:c>
      <x:c r="G17" s="76" t="n">
        <x:f>B13-C17</x:f>
        <x:v>261729.28</x:v>
      </x:c>
      <x:c r="H17" s="44" t="str">
        <x:v>Lower upfront cash, same annual value less fees</x:v>
      </x:c>
      <x:c r="I17" s="44"/>
      <x:c r="J17" s="44"/>
      <x:c r="K17" s="44"/>
      <x:c r="L17" s="44"/>
      <x:c r="M17"/>
      <x:c r="N17"/>
    </x:row>
    <x:row r="18" ht="48" customHeight="1">
      <x:c r="A18" s="68" t="str">
        <x:v>Monthly</x:v>
      </x:c>
      <x:c r="B18" s="44" t="str">
        <x:v>1/12 billed monthly</x:v>
      </x:c>
      <x:c r="C18" s="76" t="n">
        <x:f>B13*$B$12</x:f>
        <x:v>8094.719999999999</x:v>
      </x:c>
      <x:c r="D18" s="77" t="n">
        <x:f>B13/12</x:f>
        <x:v>22485.333333333332</x:v>
      </x:c>
      <x:c r="E18" s="69" t="n">
        <x:f>B13/4</x:f>
        <x:v>67456</x:v>
      </x:c>
      <x:c r="F18" s="69" t="n">
        <x:f>B13</x:f>
        <x:v>269824</x:v>
      </x:c>
      <x:c r="G18" s="76" t="n">
        <x:f>B13-C18</x:f>
        <x:v>261729.28</x:v>
      </x:c>
      <x:c r="H18" s="44" t="str">
        <x:v>Lowest upfront cash, most admin / collection friction</x:v>
      </x:c>
      <x:c r="I18" s="74"/>
      <x:c r="J18"/>
      <x:c r="K18"/>
      <x:c r="L18"/>
      <x:c r="M18"/>
      <x:c r="N18"/>
    </x:row>
    <x:row r="19">
      <x:c r="A19" s="44"/>
      <x:c r="B19" s="44"/>
      <x:c r="C19" s="45"/>
      <x:c r="D19" s="45"/>
      <x:c r="E19" s="44"/>
      <x:c r="F19" s="45"/>
      <x:c r="G19" s="44"/>
      <x:c r="H19" s="44"/>
      <x:c r="I19"/>
      <x:c r="J19"/>
      <x:c r="K19"/>
      <x:c r="L19"/>
      <x:c r="M19"/>
      <x:c r="N19"/>
    </x:row>
    <x:row r="20" ht="15" customHeight="1">
      <x:c r="A20" s="136" t="str">
        <x:v>3) Early termination — remaining contract value</x:v>
      </x:c>
      <x:c r="B20" s="137"/>
      <x:c r="C20" s="137"/>
      <x:c r="D20" s="137"/>
      <x:c r="E20" s="137"/>
      <x:c r="F20" s="137"/>
      <x:c r="G20" s="137"/>
      <x:c r="H20" s="137"/>
      <x:c r="I20"/>
      <x:c r="J20"/>
      <x:c r="K20"/>
      <x:c r="L20"/>
      <x:c r="M20"/>
      <x:c r="N20"/>
    </x:row>
    <x:row r="21" ht="16">
      <x:c r="A21" s="70" t="str">
        <x:v>Assumption:</x:v>
      </x:c>
      <x:c r="B21" s="71" t="str">
        <x:v>Cancellation after 6 months</x:v>
      </x:c>
      <x:c r="C21" s="44"/>
      <x:c r="D21" s="44"/>
      <x:c r="E21" s="44"/>
      <x:c r="F21" s="44"/>
      <x:c r="G21" s="44"/>
      <x:c r="H21" s="44"/>
      <x:c r="I21"/>
      <x:c r="J21"/>
      <x:c r="K21"/>
      <x:c r="L21"/>
      <x:c r="M21"/>
      <x:c r="N21"/>
    </x:row>
    <x:row r="22">
      <x:c r="A22" s="44"/>
      <x:c r="B22" s="44"/>
      <x:c r="C22" s="44"/>
      <x:c r="D22" s="44"/>
      <x:c r="E22" s="44"/>
      <x:c r="F22" s="44"/>
      <x:c r="G22" s="44"/>
      <x:c r="H22" s="44"/>
      <x:c r="I22"/>
      <x:c r="J22"/>
      <x:c r="K22"/>
      <x:c r="L22"/>
      <x:c r="M22"/>
      <x:c r="N22"/>
    </x:row>
    <x:row r="23" s="85" customFormat="1" ht="16">
      <x:c r="A23" s="66" t="str">
        <x:v>Penalty level</x:v>
      </x:c>
      <x:c r="B23" s="66" t="str">
        <x:v>Small_15_Core</x:v>
      </x:c>
      <x:c r="C23" s="66" t="str">
        <x:v>Typical_30</x:v>
      </x:c>
      <x:c r="D23" s="66" t="str">
        <x:v>Large_50_Core</x:v>
      </x:c>
      <x:c r="E23" s="66" t="str">
        <x:v>Revenue preserved</x:v>
      </x:c>
      <x:c r="F23" s="66" t="str">
        <x:v>Comment</x:v>
      </x:c>
      <x:c r="G23" s="88"/>
      <x:c r="H23" s="88"/>
      <x:c r="I23" s="88"/>
      <x:c r="J23" s="88"/>
      <x:c r="K23" s="88"/>
      <x:c r="L23"/>
      <x:c r="M23"/>
      <x:c r="N23"/>
    </x:row>
    <x:row r="24" ht="16">
      <x:c r="A24" s="78" t="n">
        <x:v>0.5</x:v>
      </x:c>
      <x:c r="B24" s="68" t="n">
        <x:f>K5/2*A24</x:f>
        <x:v>29178</x:v>
      </x:c>
      <x:c r="C24" s="68" t="n">
        <x:f>K6/2*A24</x:f>
        <x:v>67456</x:v>
      </x:c>
      <x:c r="D24" s="92" t="n">
        <x:f>K7/2*A24</x:f>
        <x:v>112737.875</x:v>
      </x:c>
      <x:c r="E24" s="92" t="n">
        <x:f>SUM(B24:D24)</x:f>
        <x:v>209371.875</x:v>
      </x:c>
      <x:c r="F24" s="44" t="str">
        <x:v>Lowest protection</x:v>
      </x:c>
      <x:c r="G24" s="44"/>
      <x:c r="H24" s="44"/>
      <x:c r="I24" s="44"/>
      <x:c r="J24" s="44"/>
      <x:c r="K24" s="44"/>
      <x:c r="L24"/>
      <x:c r="M24"/>
      <x:c r="N24"/>
    </x:row>
    <x:row r="25" ht="16">
      <x:c r="A25" s="78" t="n">
        <x:v>0.75</x:v>
      </x:c>
      <x:c r="B25" s="69" t="n">
        <x:f>K5/2*A25</x:f>
        <x:v>43767</x:v>
      </x:c>
      <x:c r="C25" s="69" t="n">
        <x:f>K6/2*A25</x:f>
        <x:v>101184</x:v>
      </x:c>
      <x:c r="D25" s="69" t="n">
        <x:f>K7/2*A25</x:f>
        <x:v>169106.8125</x:v>
      </x:c>
      <x:c r="E25" s="69" t="n">
        <x:f>SUM(B25:D25)</x:f>
        <x:v>314057.8125</x:v>
      </x:c>
      <x:c r="F25" s="44" t="str">
        <x:v>Middle ground</x:v>
      </x:c>
      <x:c r="G25" s="44"/>
      <x:c r="H25" s="44"/>
      <x:c r="I25" s="44"/>
      <x:c r="J25" s="44"/>
      <x:c r="K25" s="44"/>
      <x:c r="L25"/>
      <x:c r="M25"/>
      <x:c r="N25"/>
    </x:row>
    <x:row r="26" ht="48" customHeight="1">
      <x:c r="A26" s="78" t="n">
        <x:v>1</x:v>
      </x:c>
      <x:c r="B26" s="69" t="n">
        <x:f>K5/2*A26</x:f>
        <x:v>58356</x:v>
      </x:c>
      <x:c r="C26" s="69" t="n">
        <x:f>K6/2*A26</x:f>
        <x:v>134912</x:v>
      </x:c>
      <x:c r="D26" s="69" t="n">
        <x:f>K7/2*A26</x:f>
        <x:v>225475.75</x:v>
      </x:c>
      <x:c r="E26" s="69" t="n">
        <x:f>SUM(B26:D26)</x:f>
        <x:v>418743.75</x:v>
      </x:c>
      <x:c r="F26" s="44" t="str">
        <x:v>Full annual commitment enforced</x:v>
      </x:c>
      <x:c r="G26" s="44"/>
      <x:c r="H26" s="44"/>
      <x:c r="I26" s="44"/>
      <x:c r="J26" s="44"/>
      <x:c r="K26" s="44"/>
      <x:c r="L26" s="44"/>
      <x:c r="M26"/>
      <x:c r="N26"/>
    </x:row>
    <x:row r="27">
      <x:c r="A27" s="44"/>
      <x:c r="B27" s="45"/>
      <x:c r="C27" s="45"/>
      <x:c r="D27" s="45"/>
      <x:c r="E27" s="45"/>
      <x:c r="F27" s="44"/>
      <x:c r="G27" s="44"/>
      <x:c r="H27" s="44"/>
      <x:c r="I27" s="44"/>
      <x:c r="J27" s="44"/>
      <x:c r="K27" s="44"/>
      <x:c r="L27" s="44"/>
      <x:c r="M27"/>
      <x:c r="N27"/>
    </x:row>
    <x:row r="28" ht="15" customHeight="1">
      <x:c r="A28" s="136" t="str">
        <x:v>4) One-time vs recurring — branding / API 3-year value</x:v>
      </x:c>
      <x:c r="B28" s="137"/>
      <x:c r="C28" s="137"/>
      <x:c r="D28" s="137"/>
      <x:c r="E28" s="137"/>
      <x:c r="F28" s="137"/>
      <x:c r="G28" s="137"/>
      <x:c r="H28" s="137"/>
      <x:c r="I28" s="44"/>
      <x:c r="J28" s="44"/>
      <x:c r="K28" s="44"/>
      <x:c r="L28" s="44"/>
      <x:c r="M28"/>
      <x:c r="N28"/>
    </x:row>
    <x:row r="29">
      <x:c r="A29" s="36" t="str">
        <x:v>Compare current one-time setup logic vs recurring monetisation over 3 years.</x:v>
      </x:c>
      <x:c r="B29" s="79"/>
      <x:c r="C29" s="79"/>
      <x:c r="D29" s="79"/>
      <x:c r="E29" s="79"/>
      <x:c r="F29" s="79"/>
      <x:c r="G29" s="44"/>
      <x:c r="H29" s="44"/>
      <x:c r="I29" s="44"/>
      <x:c r="J29" s="44"/>
      <x:c r="K29" s="44"/>
      <x:c r="L29" s="44"/>
      <x:c r="M29"/>
      <x:c r="N29"/>
    </x:row>
    <x:row r="30" s="85" customFormat="1" ht="16">
      <x:c r="A30" s="66" t="str">
        <x:v>Scenario</x:v>
      </x:c>
      <x:c r="B30" s="66" t="str">
        <x:v>Current one-time revenue</x:v>
      </x:c>
      <x:c r="C30" s="66" t="str">
        <x:v>Recurring alternative (3 years)</x:v>
      </x:c>
      <x:c r="D30" s="66" t="str">
        <x:v>Delta</x:v>
      </x:c>
      <x:c r="E30" s="66" t="str">
        <x:v>What changes</x:v>
      </x:c>
      <x:c r="F30" s="66" t="str">
        <x:v>Comment</x:v>
      </x:c>
      <x:c r="G30" s="88"/>
      <x:c r="H30" s="88"/>
      <x:c r="I30" s="88"/>
      <x:c r="J30" s="88"/>
      <x:c r="K30" s="88"/>
      <x:c r="L30" s="88"/>
      <x:c r="M30"/>
      <x:c r="N30"/>
    </x:row>
    <x:row r="31" ht="16">
      <x:c r="A31" s="68" t="str">
        <x:v>Typical_30</x:v>
      </x:c>
      <x:c r="B31" s="68" t="n">
        <x:f>IF(_xlfn.XLOOKUP(A31,Customer_Scenarios!$A:$A,Customer_Scenarios!$Q:$Q,"")="Read",Inputs!$B$33,IF(_xlfn.XLOOKUP(A31,Customer_Scenarios!$A:$A,Customer_Scenarios!$Q:$Q,"")="ReadWrite",Inputs!$B$34,0))+IF(_xlfn.XLOOKUP(A27,Customer_Scenarios!$A:$A,Customer_Scenarios!$P:$P,"")="Y",Inputs!$B$32,0)</x:f>
        <x:v>8600</x:v>
      </x:c>
      <x:c r="C31" s="68" t="n">
        <x:f>B31*3</x:f>
        <x:v>25800</x:v>
      </x:c>
      <x:c r="D31" s="68" t="n">
        <x:f>C31-B31</x:f>
        <x:v>17200</x:v>
      </x:c>
      <x:c r="E31" s="138" t="str">
        <x:v>Higher LTV vs more buyer friction</x:v>
      </x:c>
      <x:c r="F31" s="68"/>
      <x:c r="G31" s="44"/>
      <x:c r="H31" s="44"/>
      <x:c r="I31" s="44"/>
      <x:c r="J31" s="44"/>
      <x:c r="K31" s="74"/>
      <x:c r="L31" s="74"/>
      <x:c r="M31" s="74"/>
      <x:c r="N31" s="74"/>
      <x:c r="O31" s="74"/>
      <x:c r="P31" s="74"/>
    </x:row>
    <x:row r="32" ht="16">
      <x:c r="A32" s="68" t="str">
        <x:v>Large_50_Core</x:v>
      </x:c>
      <x:c r="B32" s="68" t="n">
        <x:f>IF(_xlfn.XLOOKUP(A32,Customer_Scenarios!$A:$A,Customer_Scenarios!$Q:$Q,"")="Read",Inputs!$B$33,IF(_xlfn.XLOOKUP(A32,Customer_Scenarios!$A:$A,Customer_Scenarios!$Q:$Q,"")="ReadWrite",Inputs!$B$34,0))+IF(_xlfn.XLOOKUP(A32,Customer_Scenarios!$A:$A,Customer_Scenarios!$P:$P,"")="Y",Inputs!$B$32,0)</x:f>
        <x:v>11200</x:v>
      </x:c>
      <x:c r="C32" s="68" t="n">
        <x:f>B32*3</x:f>
        <x:v>33600</x:v>
      </x:c>
      <x:c r="D32" s="68" t="n">
        <x:f>C32-B32</x:f>
        <x:v>22400</x:v>
      </x:c>
      <x:c r="E32" s="138"/>
      <x:c r="F32" s="68"/>
      <x:c r="G32" s="44"/>
      <x:c r="H32" s="44"/>
      <x:c r="I32" s="44"/>
      <x:c r="J32" s="44"/>
      <x:c r="K32"/>
      <x:c r="L32"/>
      <x:c r="M32"/>
      <x:c r="N32"/>
    </x:row>
    <x:row r="33" ht="16">
      <x:c r="A33" s="68" t="str">
        <x:v>Large_50_Advanced</x:v>
      </x:c>
      <x:c r="B33" s="68" t="n">
        <x:f>IF(_xlfn.XLOOKUP(A33,Customer_Scenarios!$A:$A,Customer_Scenarios!$Q:$Q,"")="Read",Inputs!$B$33,IF(_xlfn.XLOOKUP(A33,Customer_Scenarios!$A:$A,Customer_Scenarios!$Q:$Q,"")="ReadWrite",Inputs!$B$34,0))+IF(_xlfn.XLOOKUP(A33,Customer_Scenarios!$A:$A,Customer_Scenarios!$P:$P,"")="Y",Inputs!$B$32,0)</x:f>
        <x:v>24100</x:v>
      </x:c>
      <x:c r="C33" s="68" t="n">
        <x:f>B33*3</x:f>
        <x:v>72300</x:v>
      </x:c>
      <x:c r="D33" s="68" t="n">
        <x:f>C33-B33</x:f>
        <x:v>48200</x:v>
      </x:c>
      <x:c r="E33" s="138"/>
      <x:c r="F33" s="68"/>
      <x:c r="G33" s="44"/>
      <x:c r="H33" s="44"/>
      <x:c r="I33" s="44"/>
      <x:c r="J33" s="44"/>
      <x:c r="K33"/>
      <x:c r="L33"/>
      <x:c r="M33"/>
      <x:c r="N33"/>
    </x:row>
    <x:row r="34" ht="16">
      <x:c r="A34" s="68" t="str">
        <x:v>Large_50_Premium</x:v>
      </x:c>
      <x:c r="B34" s="68" t="n">
        <x:f>IF(_xlfn.XLOOKUP(A34,Customer_Scenarios!$A:$A,Customer_Scenarios!$Q:$Q,"")="Read",Inputs!$B$33,IF(_xlfn.XLOOKUP(A34,Customer_Scenarios!$A:$A,Customer_Scenarios!$Q:$Q,"")="ReadWrite",Inputs!$B$34,0))+IF(_xlfn.XLOOKUP(A34,Customer_Scenarios!$A:$A,Customer_Scenarios!$P:$P,"")="Y",Inputs!$B$32,0)</x:f>
        <x:v>24100</x:v>
      </x:c>
      <x:c r="C34" s="68" t="n">
        <x:f>B34*3</x:f>
        <x:v>72300</x:v>
      </x:c>
      <x:c r="D34" s="68" t="n">
        <x:f>C34-B34</x:f>
        <x:v>48200</x:v>
      </x:c>
      <x:c r="E34" s="138"/>
      <x:c r="F34" s="68"/>
      <x:c r="G34" s="44"/>
      <x:c r="H34" s="44"/>
      <x:c r="I34" s="44"/>
      <x:c r="J34" s="44"/>
      <x:c r="K34"/>
      <x:c r="L34"/>
      <x:c r="M34"/>
      <x:c r="N34"/>
    </x:row>
    <x:row r="35">
      <x:c r="A35" s="44"/>
      <x:c r="B35" s="45"/>
      <x:c r="C35" s="45"/>
      <x:c r="D35" s="45"/>
      <x:c r="E35" s="44"/>
      <x:c r="F35" s="44"/>
      <x:c r="G35" s="44"/>
      <x:c r="H35" s="44"/>
      <x:c r="I35" s="44"/>
      <x:c r="J35" s="44"/>
      <x:c r="K35" s="44"/>
      <x:c r="L35" s="44"/>
      <x:c r="M35"/>
      <x:c r="N35"/>
    </x:row>
    <x:row r="36" ht="15" customHeight="1">
      <x:c r="A36" s="136" t="str">
        <x:v>5) Competitive floor — simple sensitivity</x:v>
      </x:c>
      <x:c r="B36" s="137"/>
      <x:c r="C36" s="137"/>
      <x:c r="D36" s="137"/>
      <x:c r="E36" s="137"/>
      <x:c r="F36" s="137"/>
      <x:c r="G36" s="137"/>
      <x:c r="H36" s="137"/>
      <x:c r="I36" s="44"/>
      <x:c r="J36" s="44"/>
      <x:c r="K36" s="44"/>
      <x:c r="L36" s="44"/>
      <x:c r="M36"/>
      <x:c r="N36"/>
    </x:row>
    <x:row r="37" ht="15" customHeight="1">
      <x:c r="A37" s="36" t="str">
        <x:v>ROI shown on a portfolio basis at current 300-user capacity.</x:v>
      </x:c>
      <x:c r="B37" s="44"/>
      <x:c r="C37" s="44"/>
      <x:c r="D37" s="44"/>
      <x:c r="E37" s="44"/>
      <x:c r="F37" s="44"/>
      <x:c r="G37" s="44"/>
      <x:c r="H37" s="44"/>
      <x:c r="I37" s="44"/>
      <x:c r="J37" s="44"/>
      <x:c r="K37" s="44"/>
      <x:c r="L37" s="44"/>
      <x:c r="M37"/>
      <x:c r="N37"/>
    </x:row>
    <x:row r="38" ht="16">
      <x:c r="A38" s="86" t="str">
        <x:v>Base scenario:</x:v>
      </x:c>
      <x:c r="B38" s="72" t="str">
        <x:v>Sens_50</x:v>
      </x:c>
      <x:c r="C38"/>
      <x:c r="D38"/>
      <x:c r="E38" s="44"/>
      <x:c r="F38" s="44"/>
      <x:c r="G38" s="44"/>
      <x:c r="H38" s="44"/>
      <x:c r="I38" s="44"/>
      <x:c r="J38" s="44"/>
      <x:c r="K38" s="74"/>
      <x:c r="L38" s="74"/>
      <x:c r="M38" s="74"/>
      <x:c r="N38" s="74"/>
      <x:c r="O38" s="74"/>
      <x:c r="P38" s="74"/>
    </x:row>
    <x:row r="39" ht="16">
      <x:c r="A39" s="86" t="str">
        <x:v>Users:</x:v>
      </x:c>
      <x:c r="B39" s="72" t="str">
        <x:v>50</x:v>
      </x:c>
      <x:c r="C39"/>
      <x:c r="D39"/>
      <x:c r="E39" s="44"/>
      <x:c r="F39" s="44"/>
      <x:c r="G39" s="44"/>
      <x:c r="H39" s="44"/>
      <x:c r="I39" s="44"/>
      <x:c r="J39" s="44"/>
      <x:c r="K39" s="74"/>
      <x:c r="L39" s="74"/>
      <x:c r="M39" s="74"/>
      <x:c r="N39" s="74"/>
      <x:c r="O39" s="74"/>
      <x:c r="P39" s="74"/>
    </x:row>
    <x:row r="40">
      <x:c r="A40" s="44"/>
      <x:c r="B40" s="44"/>
      <x:c r="C40"/>
      <x:c r="D40"/>
      <x:c r="E40" s="44"/>
      <x:c r="F40" s="44"/>
      <x:c r="G40" s="44"/>
      <x:c r="H40" s="44"/>
      <x:c r="I40" s="44"/>
      <x:c r="J40" s="44"/>
      <x:c r="K40" s="74"/>
      <x:c r="L40" s="74"/>
      <x:c r="M40" s="74"/>
      <x:c r="N40" s="74"/>
      <x:c r="O40" s="74"/>
      <x:c r="P40" s="74"/>
    </x:row>
    <x:row r="41" s="85" customFormat="1" ht="32">
      <x:c r="A41" s="66" t="str">
        <x:v>Flat price / user / month</x:v>
      </x:c>
      <x:c r="B41" s="66" t="str">
        <x:v>Annual recurring @50 users</x:v>
      </x:c>
      <x:c r="C41" s="66" t="str">
        <x:v>Net Y1 incl. default impl</x:v>
      </x:c>
      <x:c r="D41" s="66" t="str">
        <x:v>ROI vs current burn at current capacity</x:v>
      </x:c>
      <x:c r="E41" s="80" t="str">
        <x:v>Meets 42% target?</x:v>
      </x:c>
      <x:c r="F41" s="66" t="str">
        <x:v>Comment</x:v>
      </x:c>
      <x:c r="G41" s="88"/>
      <x:c r="H41" s="88"/>
      <x:c r="I41" s="88"/>
      <x:c r="J41" s="88"/>
      <x:c r="K41"/>
      <x:c r="L41"/>
      <x:c r="M41"/>
      <x:c r="N41"/>
    </x:row>
    <x:row r="42" ht="48">
      <x:c r="A42" s="68" t="n">
        <x:v>450</x:v>
      </x:c>
      <x:c r="B42" s="68" t="n">
        <x:f>A42*$B$39*12</x:f>
        <x:v>270000</x:v>
      </x:c>
      <x:c r="C42" s="68" t="n">
        <x:f>B42+$B$39*Inputs!$B$48</x:f>
        <x:v>372500</x:v>
      </x:c>
      <x:c r="D42" s="81" t="n">
        <x:f>((A42*Inputs!$B$9*12)-Inputs!$B$8)/Inputs!$B$8</x:f>
        <x:v>0.5315126050420168</x:v>
      </x:c>
      <x:c r="E42" s="36" t="str">
        <x:f>IF(D42&gt;=Inputs!$B$6,"OK","Below")</x:f>
        <x:v>OK</x:v>
      </x:c>
      <x:c r="F42" s="68" t="str">
        <x:v>Below 42% target; closest viable floor under current capacity</x:v>
      </x:c>
      <x:c r="G42" s="44"/>
      <x:c r="H42" s="44"/>
      <x:c r="I42" s="44"/>
      <x:c r="J42" s="44"/>
      <x:c r="K42"/>
      <x:c r="L42"/>
      <x:c r="M42"/>
      <x:c r="N42"/>
    </x:row>
    <x:row r="43" ht="16">
      <x:c r="A43" s="68" t="n">
        <x:v>400</x:v>
      </x:c>
      <x:c r="B43" s="68" t="n">
        <x:f>A43*$B$39*12</x:f>
        <x:v>240000</x:v>
      </x:c>
      <x:c r="C43" s="68" t="n">
        <x:f>B43+$B$39*Inputs!$B$48</x:f>
        <x:v>342500</x:v>
      </x:c>
      <x:c r="D43" s="81" t="n">
        <x:f>((A43*Inputs!$B$9*12)-Inputs!$B$8)/Inputs!$B$8</x:f>
        <x:v>0.36134453781512604</x:v>
      </x:c>
      <x:c r="E43" s="36" t="str">
        <x:f>IF(D43&gt;=Inputs!$B$6,"OK","Below")</x:f>
        <x:v>OK</x:v>
      </x:c>
      <x:c r="F43" s="68" t="str">
        <x:v>Below target; limited buffer</x:v>
      </x:c>
      <x:c r="G43" s="44"/>
      <x:c r="H43" s="44"/>
      <x:c r="I43" s="44"/>
      <x:c r="J43" s="44"/>
      <x:c r="K43"/>
      <x:c r="L43"/>
      <x:c r="M43"/>
      <x:c r="N43"/>
    </x:row>
    <x:row r="44" ht="32">
      <x:c r="A44" s="69" t="n">
        <x:v>350</x:v>
      </x:c>
      <x:c r="B44" s="68" t="n">
        <x:f>A44*$B$39*12</x:f>
        <x:v>210000</x:v>
      </x:c>
      <x:c r="C44" s="68" t="n">
        <x:f>B44+$B$39*Inputs!$B$48</x:f>
        <x:v>312500</x:v>
      </x:c>
      <x:c r="D44" s="81" t="n">
        <x:f>((A44*Inputs!$B$9*12)-Inputs!$B$8)/Inputs!$B$8</x:f>
        <x:v>0.19117647058823528</x:v>
      </x:c>
      <x:c r="E44" s="36" t="str">
        <x:f>IF(D44&gt;=Inputs!$B$6,"OK","Below")</x:f>
        <x:v>Below</x:v>
      </x:c>
      <x:c r="F44" s="68" t="str">
        <x:v>Below target; weak under current capacity</x:v>
      </x:c>
      <x:c r="G44" s="44"/>
      <x:c r="H44" s="44"/>
      <x:c r="I44" s="44"/>
      <x:c r="J44" s="44"/>
      <x:c r="K44"/>
      <x:c r="L44"/>
      <x:c r="M44"/>
      <x:c r="N44"/>
    </x:row>
    <x:row r="45" ht="32">
      <x:c r="A45" s="69" t="n">
        <x:v>300</x:v>
      </x:c>
      <x:c r="B45" s="68" t="n">
        <x:f>A45*$B$39*12</x:f>
        <x:v>180000</x:v>
      </x:c>
      <x:c r="C45" s="68" t="n">
        <x:f>B45+$B$39*Inputs!$B$48</x:f>
        <x:v>282500</x:v>
      </x:c>
      <x:c r="D45" s="81" t="n">
        <x:f>((A45*Inputs!$B$9*12)-Inputs!$B$8)/Inputs!$B$8</x:f>
        <x:v>0.02100840336134454</x:v>
      </x:c>
      <x:c r="E45" s="36" t="str">
        <x:f>IF(D45&gt;=Inputs!$B$6,"OK","Below")</x:f>
        <x:v>Below</x:v>
      </x:c>
      <x:c r="F45" s="68" t="str">
        <x:v>Below target; not viable at target ROI</x:v>
      </x:c>
      <x:c r="G45" s="44"/>
      <x:c r="H45" s="44"/>
      <x:c r="I45" s="44"/>
      <x:c r="J45" s="44"/>
      <x:c r="K45" s="44"/>
      <x:c r="L45" s="44"/>
      <x:c r="M45"/>
      <x:c r="N45"/>
    </x:row>
    <x:row r="46" ht="32">
      <x:c r="A46" s="69" t="n">
        <x:v>250</x:v>
      </x:c>
      <x:c r="B46" s="68" t="n">
        <x:f>A46*$B$39*12</x:f>
        <x:v>150000</x:v>
      </x:c>
      <x:c r="C46" s="68" t="n">
        <x:f>B46+$B$39*Inputs!$B$48</x:f>
        <x:v>252500</x:v>
      </x:c>
      <x:c r="D46" s="81" t="n">
        <x:f>((A46*Inputs!$B$9*12)-Inputs!$B$8)/Inputs!$B$8</x:f>
        <x:v>-0.14915966386554622</x:v>
      </x:c>
      <x:c r="E46" s="36" t="str">
        <x:f>IF(D46&gt;=Inputs!$B$6,"OK","Below")</x:f>
        <x:v>Below</x:v>
      </x:c>
      <x:c r="F46" s="68" t="str">
        <x:v>Below target; clearly uneconomic</x:v>
      </x:c>
      <x:c r="G46" s="44"/>
      <x:c r="H46" s="44"/>
      <x:c r="I46" s="44"/>
      <x:c r="J46" s="44"/>
      <x:c r="K46" s="44"/>
      <x:c r="L46" s="44"/>
      <x:c r="M46"/>
      <x:c r="N46"/>
    </x:row>
    <x:row r="47">
      <x:c r="A47" s="45"/>
      <x:c r="B47" s="45"/>
      <x:c r="C47" s="45"/>
      <x:c r="D47" s="82"/>
      <x:c r="E47" s="44"/>
      <x:c r="F47" s="44"/>
      <x:c r="G47" s="44"/>
      <x:c r="H47" s="44"/>
      <x:c r="I47" s="44"/>
      <x:c r="J47" s="44"/>
      <x:c r="K47" s="44"/>
      <x:c r="L47" s="44"/>
      <x:c r="M47"/>
      <x:c r="N47"/>
    </x:row>
    <x:row r="48" ht="15" customHeight="1">
      <x:c r="A48" s="134" t="str">
        <x:v>6) Usage-based — per-seat vs per-run</x:v>
      </x:c>
      <x:c r="B48" s="135"/>
      <x:c r="C48" s="135"/>
      <x:c r="D48" s="135"/>
      <x:c r="E48" s="135"/>
      <x:c r="F48" s="135"/>
      <x:c r="G48" s="135"/>
      <x:c r="H48" s="135"/>
      <x:c r="I48" s="44"/>
      <x:c r="J48" s="44"/>
      <x:c r="K48" s="44"/>
      <x:c r="L48" s="44"/>
      <x:c r="M48"/>
      <x:c r="N48"/>
    </x:row>
    <x:row r="49" ht="16">
      <x:c r="A49" s="70" t="str">
        <x:v>Assumption:</x:v>
      </x:c>
      <x:c r="B49" s="71" t="str">
        <x:v>Runs / ambulance / day</x:v>
      </x:c>
      <x:c r="C49" s="83" t="n">
        <x:v>6</x:v>
      </x:c>
      <x:c r="D49" s="44"/>
      <x:c r="E49" s="44"/>
      <x:c r="F49" s="44"/>
      <x:c r="G49" s="44"/>
      <x:c r="H49" s="44"/>
      <x:c r="I49" s="44"/>
      <x:c r="J49" s="44"/>
      <x:c r="K49" s="44"/>
      <x:c r="L49" s="44"/>
      <x:c r="M49"/>
      <x:c r="N49"/>
    </x:row>
    <x:row r="50">
      <x:c r="A50" s="44"/>
      <x:c r="B50" s="44"/>
      <x:c r="C50" s="44"/>
      <x:c r="D50" s="44"/>
      <x:c r="E50" s="44"/>
      <x:c r="F50" s="44"/>
      <x:c r="G50" s="44"/>
      <x:c r="H50" s="44"/>
      <x:c r="I50" s="44"/>
      <x:c r="J50" s="44"/>
      <x:c r="K50" s="44"/>
      <x:c r="L50" s="44"/>
      <x:c r="M50"/>
      <x:c r="N50"/>
    </x:row>
    <x:row r="51" s="85" customFormat="1" ht="16">
      <x:c r="A51" s="66" t="str">
        <x:v>Scenario</x:v>
      </x:c>
      <x:c r="B51" s="66" t="str">
        <x:v>Ambulances</x:v>
      </x:c>
      <x:c r="C51" s="66" t="str">
        <x:v>Current Net Y1</x:v>
      </x:c>
      <x:c r="D51" s="66" t="str">
        <x:v>Annual runs</x:v>
      </x:c>
      <x:c r="E51" s="66" t="str">
        <x:v>Equivalent price / run</x:v>
      </x:c>
      <x:c r="F51" s="66" t="str">
        <x:v>Equivalent price / claim</x:v>
      </x:c>
      <x:c r="G51" s="66" t="str">
        <x:v>Comment</x:v>
      </x:c>
      <x:c r="H51" s="88"/>
      <x:c r="I51" s="88"/>
      <x:c r="J51" s="88"/>
      <x:c r="K51" s="88"/>
      <x:c r="L51" s="88"/>
      <x:c r="M51"/>
      <x:c r="N51"/>
    </x:row>
    <x:row r="52" ht="32">
      <x:c r="A52" s="68" t="str">
        <x:v>Small_15_Core</x:v>
      </x:c>
      <x:c r="B52" s="68" t="n">
        <x:v>3</x:v>
      </x:c>
      <x:c r="C52" s="68" t="n">
        <x:f>_xlfn.XLOOKUP(A52,$J$5:$J$14,$K$5:$K$14,"")</x:f>
        <x:v>116712</x:v>
      </x:c>
      <x:c r="D52" s="68" t="n">
        <x:f>B52*$C$49*365</x:f>
        <x:v>6570</x:v>
      </x:c>
      <x:c r="E52" s="91" t="n">
        <x:f>C52/D52</x:f>
        <x:v>17.764383561643836</x:v>
      </x:c>
      <x:c r="F52" s="91" t="n">
        <x:f>E52</x:f>
        <x:v>17.764383561643836</x:v>
      </x:c>
      <x:c r="G52" s="68" t="str">
        <x:v>Ballpark run/claim price to match current annual contract</x:v>
      </x:c>
      <x:c r="H52" s="44"/>
      <x:c r="I52" s="44"/>
      <x:c r="J52" s="44"/>
      <x:c r="K52" s="44"/>
      <x:c r="L52" s="44"/>
      <x:c r="M52"/>
      <x:c r="N52"/>
    </x:row>
    <x:row r="53" ht="32">
      <x:c r="A53" s="68" t="str">
        <x:v>Typical_30</x:v>
      </x:c>
      <x:c r="B53" s="68" t="n">
        <x:v>5</x:v>
      </x:c>
      <x:c r="C53" s="68" t="n">
        <x:f>_xlfn.XLOOKUP(A53,$J$5:$J$14,$K$5:$K$14,"")</x:f>
        <x:v>269824</x:v>
      </x:c>
      <x:c r="D53" s="68" t="n">
        <x:f>B53*$C$49*365</x:f>
        <x:v>10950</x:v>
      </x:c>
      <x:c r="E53" s="91" t="n">
        <x:f>C53/D53</x:f>
        <x:v>24.641461187214613</x:v>
      </x:c>
      <x:c r="F53" s="91" t="n">
        <x:f>E53</x:f>
        <x:v>24.641461187214613</x:v>
      </x:c>
      <x:c r="G53" s="68" t="str">
        <x:v>Ballpark run/claim price to match current annual contract</x:v>
      </x:c>
      <x:c r="H53" s="44"/>
      <x:c r="I53" s="44"/>
      <x:c r="J53" s="44"/>
      <x:c r="K53" s="44"/>
      <x:c r="L53" s="44"/>
      <x:c r="M53"/>
      <x:c r="N53"/>
    </x:row>
    <x:row r="54" ht="32">
      <x:c r="A54" s="68" t="str">
        <x:v>Large_50_Core</x:v>
      </x:c>
      <x:c r="B54" s="68" t="n">
        <x:v>10</x:v>
      </x:c>
      <x:c r="C54" s="68" t="n">
        <x:f>_xlfn.XLOOKUP(A54,$J$5:$J$14,$K$5:$K$14,"")</x:f>
        <x:v>450951.5</x:v>
      </x:c>
      <x:c r="D54" s="69" t="n">
        <x:f>B54*$C$49*365</x:f>
        <x:v>21900</x:v>
      </x:c>
      <x:c r="E54" s="91" t="n">
        <x:f>C54/D54</x:f>
        <x:v>20.591392694063927</x:v>
      </x:c>
      <x:c r="F54" s="91" t="n">
        <x:f>E54</x:f>
        <x:v>20.591392694063927</x:v>
      </x:c>
      <x:c r="G54" s="68" t="str">
        <x:v>Ballpark run/claim price to match current annual contract</x:v>
      </x:c>
      <x:c r="H54" s="44"/>
      <x:c r="I54" s="44"/>
      <x:c r="J54" s="44"/>
      <x:c r="K54" s="44"/>
      <x:c r="L54" s="44"/>
      <x:c r="M54"/>
      <x:c r="N54"/>
    </x:row>
    <x:row r="55">
      <x:c r="A55" s="44"/>
      <x:c r="B55" s="44"/>
      <x:c r="C55" s="45"/>
      <x:c r="D55" s="45"/>
      <x:c r="E55" s="84"/>
      <x:c r="F55" s="84"/>
      <x:c r="G55" s="44"/>
      <x:c r="H55" s="44"/>
      <x:c r="I55" s="44"/>
      <x:c r="J55" s="44"/>
      <x:c r="K55" s="44"/>
      <x:c r="L55" s="44"/>
    </x:row>
    <x:row r="56">
      <x:c r="A56" s="44"/>
      <x:c r="B56" s="44"/>
      <x:c r="C56" s="45"/>
      <x:c r="D56" s="45"/>
      <x:c r="E56" s="84"/>
      <x:c r="F56" s="84"/>
      <x:c r="G56" s="44"/>
      <x:c r="H56" s="44"/>
      <x:c r="I56" s="44"/>
      <x:c r="J56" s="44"/>
      <x:c r="K56" s="44"/>
      <x:c r="L56" s="44"/>
    </x:row>
  </x:sheetData>
  <x:mergeCells>
    <x:mergeCell ref="A10:H10"/>
    <x:mergeCell ref="A1:G1"/>
    <x:mergeCell ref="A2:G2"/>
    <x:mergeCell ref="G5:H5"/>
    <x:mergeCell ref="G8:H8"/>
    <x:mergeCell ref="G7:H7"/>
    <x:mergeCell ref="G6:H6"/>
    <x:mergeCell ref="A4:H4"/>
    <x:mergeCell ref="A48:H48"/>
    <x:mergeCell ref="A36:H36"/>
    <x:mergeCell ref="A28:H28"/>
    <x:mergeCell ref="A20:H20"/>
    <x:mergeCell ref="E31:E3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36.33203125" defaultRowHeight="15"/>
  <x:cols>
    <x:col min="1" max="1" width="31.83203125" style="1" customWidth="1"/>
    <x:col min="2" max="2" width="9.1640625" style="1" customWidth="1"/>
    <x:col min="3" max="3" width="10.6640625" style="1" customWidth="1"/>
    <x:col min="4" max="4" width="11.33203125" style="1" customWidth="1"/>
    <x:col min="5" max="5" width="14" style="1" customWidth="1"/>
    <x:col min="6" max="6" width="12.83203125" style="1" customWidth="1"/>
    <x:col min="7" max="7" width="13.6640625" style="1" customWidth="1"/>
    <x:col min="8" max="8" width="13.5" style="1" customWidth="1"/>
    <x:col min="9" max="9" width="10.6640625" style="1" customWidth="1"/>
    <x:col min="10" max="10" width="11.33203125" style="1" customWidth="1"/>
    <x:col min="11" max="11" width="36.33203125" style="1" customWidth="1"/>
    <x:col min="12" max="16384" width="36.33203125" style="1" customWidth="0"/>
  </x:cols>
  <x:sheetData>
    <x:row r="1" ht="18" customHeight="1">
      <x:c r="A1" s="144" t="str">
        <x:v>Demo B2B SaaS Workshop Comparison — Flat 350 vs Role-Based</x:v>
      </x:c>
      <x:c r="B1" s="96"/>
      <x:c r="C1" s="96"/>
      <x:c r="D1" s="96"/>
      <x:c r="E1" s="96"/>
      <x:c r="F1" s="96"/>
      <x:c r="G1" s="96"/>
      <x:c r="H1" s="96"/>
      <x:c r="I1" s="96"/>
      <x:c r="J1" s="96"/>
    </x:row>
    <x:row r="2">
      <x:c r="A2"/>
      <x:c r="B2"/>
      <x:c r="C2"/>
      <x:c r="D2"/>
      <x:c r="E2"/>
      <x:c r="F2"/>
      <x:c r="G2"/>
      <x:c r="H2"/>
      <x:c r="I2"/>
      <x:c r="J2"/>
    </x:row>
    <x:row r="3">
      <x:c r="A3" s="49" t="str">
        <x:v>Scenario</x:v>
      </x:c>
      <x:c r="B3" s="49" t="str">
        <x:v>Users</x:v>
      </x:c>
      <x:c r="C3" s="49" t="str">
        <x:v>Flat Net Y1</x:v>
      </x:c>
      <x:c r="D3" s="49" t="str">
        <x:v>Role Net Y1</x:v>
      </x:c>
      <x:c r="E3" s="49" t="str">
        <x:v>Delta Net Y1 %</x:v>
      </x:c>
      <x:c r="F3" s="49" t="str">
        <x:v>Flat ARPU Y1</x:v>
      </x:c>
      <x:c r="G3" s="49" t="str">
        <x:v>Role ARPU Y1</x:v>
      </x:c>
      <x:c r="H3" s="49" t="str">
        <x:v>Delta ARPU %</x:v>
      </x:c>
      <x:c r="I3" s="49" t="str">
        <x:v>Flat Net Y2</x:v>
      </x:c>
      <x:c r="J3" s="49" t="str">
        <x:v>Role Net Y2</x:v>
      </x:c>
    </x:row>
    <x:row r="4">
      <x:c r="A4" s="50" t="str">
        <x:v>Entry_8</x:v>
      </x:c>
      <x:c r="B4" s="1" t="n">
        <x:v>8</x:v>
      </x:c>
      <x:c r="C4" s="1" t="n">
        <x:v>52800</x:v>
      </x:c>
      <x:c r="D4" s="1" t="n">
        <x:v>66480</x:v>
      </x:c>
      <x:c r="E4" s="52" t="n">
        <x:f t="shared" ref="E4:E11" si="0">IF(C4=0,0,(D4-C4)/C4)</x:f>
        <x:v>0.2590909090909091</x:v>
      </x:c>
      <x:c r="F4" s="1" t="n">
        <x:v>6600</x:v>
      </x:c>
      <x:c r="G4" s="1" t="n">
        <x:v>8310</x:v>
      </x:c>
      <x:c r="H4" s="52" t="n">
        <x:f t="shared" ref="H4:H11" si="1">IF(F4=0,0,(G4-F4)/F4)</x:f>
        <x:v>0.2590909090909091</x:v>
      </x:c>
      <x:c r="I4" s="1" t="n">
        <x:v>34272</x:v>
      </x:c>
      <x:c r="J4" s="1" t="n">
        <x:v>48226</x:v>
      </x:c>
    </x:row>
    <x:row r="5">
      <x:c r="A5" s="50" t="str">
        <x:v>Small_15_Core</x:v>
      </x:c>
      <x:c r="B5" s="1" t="n">
        <x:v>15</x:v>
      </x:c>
      <x:c r="C5" s="1" t="n">
        <x:v>95850</x:v>
      </x:c>
      <x:c r="D5" s="1" t="n">
        <x:v>116712</x:v>
      </x:c>
      <x:c r="E5" s="52" t="n">
        <x:f t="shared" si="0"/>
        <x:v>0.2176525821596244</x:v>
      </x:c>
      <x:c r="F5" s="1" t="n">
        <x:v>6390</x:v>
      </x:c>
      <x:c r="G5" s="1" t="n">
        <x:v>7781</x:v>
      </x:c>
      <x:c r="H5" s="52" t="n">
        <x:f t="shared" si="1"/>
        <x:v>0.21768388106416275</x:v>
      </x:c>
      <x:c r="I5" s="1" t="n">
        <x:v>61047</x:v>
      </x:c>
      <x:c r="J5" s="1" t="n">
        <x:v>82326</x:v>
      </x:c>
    </x:row>
    <x:row r="6">
      <x:c r="A6" s="50" t="str">
        <x:v>Small_15_Advanced</x:v>
      </x:c>
      <x:c r="B6" s="1" t="n">
        <x:v>15</x:v>
      </x:c>
      <x:c r="C6" s="1" t="n">
        <x:v>104058</x:v>
      </x:c>
      <x:c r="D6" s="1" t="n">
        <x:v>124920</x:v>
      </x:c>
      <x:c r="E6" s="52" t="n">
        <x:f t="shared" si="0"/>
        <x:v>0.2004843452689846</x:v>
      </x:c>
      <x:c r="F6" s="1" t="n">
        <x:v>6937</x:v>
      </x:c>
      <x:c r="G6" s="1" t="n">
        <x:v>8328</x:v>
      </x:c>
      <x:c r="H6" s="52" t="n">
        <x:f t="shared" si="1"/>
        <x:v>0.2005189563211763</x:v>
      </x:c>
      <x:c r="I6" s="1" t="n">
        <x:v>69419</x:v>
      </x:c>
      <x:c r="J6" s="1" t="n">
        <x:v>90698</x:v>
      </x:c>
    </x:row>
    <x:row r="7">
      <x:c r="A7" s="50" t="str">
        <x:v>Small_15_Premium</x:v>
      </x:c>
      <x:c r="B7" s="1" t="n">
        <x:v>15</x:v>
      </x:c>
      <x:c r="C7" s="1" t="n">
        <x:v>118251</x:v>
      </x:c>
      <x:c r="D7" s="1" t="n">
        <x:v>139113</x:v>
      </x:c>
      <x:c r="E7" s="52" t="n">
        <x:f t="shared" si="0"/>
        <x:v>0.1764213410457417</x:v>
      </x:c>
      <x:c r="F7" s="1" t="n">
        <x:v>7883</x:v>
      </x:c>
      <x:c r="G7" s="1" t="n">
        <x:v>9274</x:v>
      </x:c>
      <x:c r="H7" s="52" t="n">
        <x:f t="shared" si="1"/>
        <x:v>0.17645566408727642</x:v>
      </x:c>
      <x:c r="I7" s="1" t="n">
        <x:v>83896</x:v>
      </x:c>
      <x:c r="J7" s="1" t="n">
        <x:v>105175</x:v>
      </x:c>
    </x:row>
    <x:row r="8">
      <x:c r="A8" s="50" t="str">
        <x:v>Typical_30</x:v>
      </x:c>
      <x:c r="B8" s="1" t="n">
        <x:v>30</x:v>
      </x:c>
      <x:c r="C8" s="1" t="n">
        <x:v>230380</x:v>
      </x:c>
      <x:c r="D8" s="1" t="n">
        <x:v>269824</x:v>
      </x:c>
      <x:c r="E8" s="52" t="n">
        <x:f t="shared" si="0"/>
        <x:v>0.17121277888705616</x:v>
      </x:c>
      <x:c r="F8" s="1" t="n">
        <x:v>7679</x:v>
      </x:c>
      <x:c r="G8" s="1" t="n">
        <x:v>8994</x:v>
      </x:c>
      <x:c r="H8" s="52" t="n">
        <x:f t="shared" si="1"/>
        <x:v>0.17124625602291965</x:v>
      </x:c>
      <x:c r="I8" s="1" t="n">
        <x:v>136048</x:v>
      </x:c>
      <x:c r="J8" s="1" t="n">
        <x:v>176280</x:v>
      </x:c>
    </x:row>
    <x:row r="9">
      <x:c r="A9" s="50" t="str">
        <x:v>Large_50_Core</x:v>
      </x:c>
      <x:c r="B9" s="1" t="n">
        <x:v>50</x:v>
      </x:c>
      <x:c r="C9" s="1" t="n">
        <x:v>388138</x:v>
      </x:c>
      <x:c r="D9" s="1" t="n">
        <x:v>450952</x:v>
      </x:c>
      <x:c r="E9" s="52" t="n">
        <x:f t="shared" si="0"/>
        <x:v>0.16183419299321375</x:v>
      </x:c>
      <x:c r="F9" s="1" t="n">
        <x:v>7763</x:v>
      </x:c>
      <x:c r="G9" s="1" t="n">
        <x:v>9019</x:v>
      </x:c>
      <x:c r="H9" s="52" t="n">
        <x:f t="shared" si="1"/>
        <x:v>0.16179312121602474</x:v>
      </x:c>
      <x:c r="I9" s="1" t="n">
        <x:v>234740</x:v>
      </x:c>
      <x:c r="J9" s="1" t="n">
        <x:v>298811</x:v>
      </x:c>
    </x:row>
    <x:row r="10">
      <x:c r="A10" s="50" t="str">
        <x:v>Large_50_Advanced</x:v>
      </x:c>
      <x:c r="B10" s="1" t="n">
        <x:v>50</x:v>
      </x:c>
      <x:c r="C10" s="1" t="n">
        <x:v>429130</x:v>
      </x:c>
      <x:c r="D10" s="1" t="n">
        <x:v>491944</x:v>
      </x:c>
      <x:c r="E10" s="52" t="n">
        <x:f t="shared" si="0"/>
        <x:v>0.14637522429100738</x:v>
      </x:c>
      <x:c r="F10" s="1" t="n">
        <x:v>8583</x:v>
      </x:c>
      <x:c r="G10" s="1" t="n">
        <x:v>9839</x:v>
      </x:c>
      <x:c r="H10" s="52" t="n">
        <x:f t="shared" si="1"/>
        <x:v>0.14633578003029243</x:v>
      </x:c>
      <x:c r="I10" s="1" t="n">
        <x:v>261252</x:v>
      </x:c>
      <x:c r="J10" s="1" t="n">
        <x:v>325322</x:v>
      </x:c>
    </x:row>
    <x:row r="11">
      <x:c r="A11" s="50" t="str">
        <x:v>Large_50_Premium</x:v>
      </x:c>
      <x:c r="B11" s="1" t="n">
        <x:v>50</x:v>
      </x:c>
      <x:c r="C11" s="1" t="n">
        <x:v>644347</x:v>
      </x:c>
      <x:c r="D11" s="1" t="n">
        <x:v>703855</x:v>
      </x:c>
      <x:c r="E11" s="52" t="n">
        <x:f t="shared" si="0"/>
        <x:v>0.09235396455636481</x:v>
      </x:c>
      <x:c r="F11" s="1" t="n">
        <x:v>12887</x:v>
      </x:c>
      <x:c r="G11" s="1" t="n">
        <x:v>14077</x:v>
      </x:c>
      <x:c r="H11" s="52" t="n">
        <x:f t="shared" si="1"/>
        <x:v>0.09234111895708853</x:v>
      </x:c>
      <x:c r="I11" s="1" t="n">
        <x:v>376224</x:v>
      </x:c>
      <x:c r="J11" s="1" t="n">
        <x:v>436922</x:v>
      </x:c>
    </x:row>
    <x:row r="12">
      <x:c r="A12"/>
      <x:c r="B12"/>
      <x:c r="C12"/>
      <x:c r="D12"/>
      <x:c r="E12"/>
      <x:c r="F12"/>
      <x:c r="G12"/>
      <x:c r="H12"/>
      <x:c r="I12"/>
      <x:c r="J12"/>
    </x:row>
    <x:row r="13">
      <x:c r="A13"/>
      <x:c r="B13"/>
      <x:c r="C13"/>
      <x:c r="D13"/>
      <x:c r="E13"/>
      <x:c r="F13"/>
      <x:c r="G13"/>
      <x:c r="H13"/>
      <x:c r="I13"/>
      <x:c r="J13"/>
    </x:row>
    <x:row r="14">
      <x:c r="A14" s="18" t="str">
        <x:v>Portfolio, Breakeven &amp; ROI View</x:v>
      </x:c>
      <x:c r="B14"/>
      <x:c r="C14"/>
      <x:c r="D14"/>
      <x:c r="E14"/>
      <x:c r="F14"/>
      <x:c r="G14"/>
      <x:c r="H14"/>
      <x:c r="I14"/>
      <x:c r="J14"/>
    </x:row>
    <x:row r="15">
      <x:c r="A15" s="49" t="str">
        <x:v>Metric</x:v>
      </x:c>
      <x:c r="B15" s="49" t="str">
        <x:v>Flat</x:v>
      </x:c>
      <x:c r="C15" s="49" t="str">
        <x:v>RoleBased</x:v>
      </x:c>
      <x:c r="D15" s="49" t="str">
        <x:v>Delta</x:v>
      </x:c>
      <x:c r="E15"/>
      <x:c r="F15"/>
      <x:c r="G15" s="145"/>
      <x:c r="H15" s="145"/>
      <x:c r="I15" s="145"/>
      <x:c r="J15" s="145"/>
      <x:c r="K15" s="53"/>
    </x:row>
    <x:row r="16">
      <x:c r="A16" s="50" t="str">
        <x:v>Breakeven users — Current burn</x:v>
      </x:c>
      <x:c r="B16" s="1" t="n">
        <x:v>151</x:v>
      </x:c>
      <x:c r="C16" s="1" t="n">
        <x:v>129</x:v>
      </x:c>
      <x:c r="D16" s="1" t="n">
        <x:f>C16-B16</x:f>
        <x:v>-22</x:v>
      </x:c>
      <x:c r="E16"/>
      <x:c r="F16"/>
      <x:c r="G16"/>
      <x:c r="H16"/>
      <x:c r="I16"/>
      <x:c r="J16"/>
    </x:row>
    <x:row r="17">
      <x:c r="A17" s="50" t="str">
        <x:v>Breakeven users — Stage B</x:v>
      </x:c>
      <x:c r="B17" s="1" t="n">
        <x:v>273</x:v>
      </x:c>
      <x:c r="C17" s="1" t="n">
        <x:v>233</x:v>
      </x:c>
      <x:c r="D17" s="1" t="n">
        <x:f t="shared" ref="D17:D22" si="2">C17-B17</x:f>
        <x:v>-40</x:v>
      </x:c>
      <x:c r="E17"/>
      <x:c r="F17"/>
      <x:c r="G17"/>
      <x:c r="H17"/>
      <x:c r="I17"/>
      <x:c r="J17"/>
    </x:row>
    <x:row r="18">
      <x:c r="A18" s="50" t="str">
        <x:v>Breakeven users — Stage C</x:v>
      </x:c>
      <x:c r="B18" s="1" t="n">
        <x:v>337</x:v>
      </x:c>
      <x:c r="C18" s="1" t="n">
        <x:v>287</x:v>
      </x:c>
      <x:c r="D18" s="1" t="n">
        <x:f t="shared" si="2"/>
        <x:v>-50</x:v>
      </x:c>
      <x:c r="E18"/>
      <x:c r="F18"/>
      <x:c r="G18"/>
      <x:c r="H18"/>
      <x:c r="I18"/>
      <x:c r="J18"/>
    </x:row>
    <x:row r="19">
      <x:c r="A19" s="50" t="str">
        <x:v>Portfolio recurring net Y1 @300 users</x:v>
      </x:c>
      <x:c r="B19" s="1" t="n">
        <x:v>2172270</x:v>
      </x:c>
      <x:c r="C19" s="1" t="n">
        <x:v>2831646</x:v>
      </x:c>
      <x:c r="D19" s="1" t="n">
        <x:f t="shared" si="2"/>
        <x:v>659376</x:v>
      </x:c>
      <x:c r="E19"/>
      <x:c r="F19"/>
      <x:c r="G19"/>
      <x:c r="H19"/>
      <x:c r="I19"/>
      <x:c r="J19"/>
      <x:c r="K19" s="51"/>
    </x:row>
    <x:row r="20">
      <x:c r="A20" s="50" t="str">
        <x:v>ROI — Current cost base</x:v>
      </x:c>
      <x:c r="B20" s="54" t="n">
        <x:v>0.8706</x:v>
      </x:c>
      <x:c r="C20" s="54" t="n">
        <x:v>1.4384</x:v>
      </x:c>
      <x:c r="D20" s="54" t="n">
        <x:f t="shared" si="2"/>
        <x:v>0.5677999999999999</x:v>
      </x:c>
      <x:c r="E20"/>
      <x:c r="F20"/>
      <x:c r="G20"/>
      <x:c r="H20" s="146"/>
      <x:c r="I20" s="146"/>
      <x:c r="J20" s="146"/>
      <x:c r="K20" s="54"/>
    </x:row>
    <x:row r="21">
      <x:c r="A21" s="50" t="str">
        <x:v>ROI — Stage B</x:v>
      </x:c>
      <x:c r="B21" s="54" t="n">
        <x:v>0.0348</x:v>
      </x:c>
      <x:c r="C21" s="54" t="n">
        <x:v>0.3488</x:v>
      </x:c>
      <x:c r="D21" s="54" t="n">
        <x:f t="shared" si="2"/>
        <x:v>0.314</x:v>
      </x:c>
      <x:c r="E21"/>
      <x:c r="F21"/>
      <x:c r="G21"/>
      <x:c r="H21" s="146"/>
      <x:c r="I21" s="146"/>
      <x:c r="J21" s="146"/>
      <x:c r="K21" s="54"/>
      <x:c r="L21" s="54"/>
      <x:c r="M21" s="54"/>
    </x:row>
    <x:row r="22">
      <x:c r="A22" s="50" t="str">
        <x:v>ROI — Stage C</x:v>
      </x:c>
      <x:c r="B22" s="54" t="n">
        <x:v>-0.1595</x:v>
      </x:c>
      <x:c r="C22" s="54" t="n">
        <x:v>0.0957</x:v>
      </x:c>
      <x:c r="D22" s="54" t="n">
        <x:f t="shared" si="2"/>
        <x:v>0.2552</x:v>
      </x:c>
      <x:c r="E22"/>
      <x:c r="F22"/>
      <x:c r="G22"/>
      <x:c r="H22" s="146"/>
      <x:c r="I22" s="146"/>
      <x:c r="J22" s="146"/>
      <x:c r="K22" s="54"/>
      <x:c r="L22" s="54"/>
      <x:c r="M22" s="54"/>
    </x:row>
    <x:row r="23">
      <x:c r="A23"/>
      <x:c r="B23"/>
      <x:c r="C23"/>
      <x:c r="D23"/>
      <x:c r="E23"/>
      <x:c r="F23"/>
      <x:c r="G23"/>
      <x:c r="H23"/>
      <x:c r="I23"/>
      <x:c r="J23"/>
      <x:c r="K23" s="51"/>
      <x:c r="L23" s="51"/>
      <x:c r="M23" s="51"/>
    </x:row>
    <x:row r="24">
      <x:c r="A24" s="18" t="str">
        <x:v>Interpretation:</x:v>
      </x:c>
      <x:c r="B24"/>
      <x:c r="C24"/>
      <x:c r="D24"/>
      <x:c r="E24"/>
      <x:c r="F24"/>
      <x:c r="G24"/>
      <x:c r="H24"/>
      <x:c r="I24"/>
      <x:c r="J24"/>
      <x:c r="K24" s="51"/>
      <x:c r="L24" s="51"/>
      <x:c r="M24" s="51"/>
    </x:row>
    <x:row r="25">
      <x:c r="A25" s="1" t="str">
        <x:v>1) Role-Based lifts ARPU and lowers breakeven users versus the 350 USD flat structure across all core scenarios.</x:v>
      </x:c>
      <x:c r="B25"/>
      <x:c r="C25"/>
      <x:c r="D25"/>
      <x:c r="E25"/>
      <x:c r="F25"/>
      <x:c r="G25"/>
      <x:c r="H25"/>
      <x:c r="I25"/>
      <x:c r="J25"/>
      <x:c r="K25" s="51"/>
      <x:c r="L25" s="51"/>
      <x:c r="M25" s="51"/>
    </x:row>
    <x:row r="26">
      <x:c r="A26" s="1" t="str">
        <x:v>2) The strongest percentage uplift appears in smaller and simpler cases; the relative gap narrows in larger and more complex scenarios where add-ons and one-time fees already make up a larger share of contract value.</x:v>
      </x:c>
      <x:c r="B26"/>
      <x:c r="C26"/>
      <x:c r="D26"/>
      <x:c r="E26"/>
      <x:c r="F26"/>
      <x:c r="G26"/>
      <x:c r="H26"/>
      <x:c r="I26"/>
      <x:c r="J26"/>
      <x:c r="K26" s="51"/>
      <x:c r="L26" s="51"/>
      <x:c r="M26" s="51"/>
    </x:row>
    <x:row r="27">
      <x:c r="A27" s="1" t="str">
        <x:v>3) Stage B and Stage C economics are materially more constrained under the updated burn assumptions, which reinforces the importance of scale, account mix, and disciplined commercial packaging.</x:v>
      </x:c>
      <x:c r="B27"/>
      <x:c r="C27"/>
      <x:c r="D27"/>
      <x:c r="E27"/>
      <x:c r="F27"/>
      <x:c r="G27"/>
      <x:c r="H27"/>
      <x:c r="I27"/>
      <x:c r="J27"/>
      <x:c r="K27" s="51"/>
      <x:c r="L27" s="51"/>
      <x:c r="M27" s="51"/>
    </x:row>
    <x:row r="28">
      <x:c r="A28" s="1" t="str">
        <x:v>4) This sheet is intended as a workshop comparison summary. The core calculation engine remains in the main model tabs.</x:v>
      </x:c>
      <x:c r="B28"/>
      <x:c r="C28"/>
      <x:c r="D28"/>
      <x:c r="E28"/>
      <x:c r="F28"/>
      <x:c r="G28"/>
      <x:c r="H28"/>
      <x:c r="I28"/>
      <x:c r="J28"/>
    </x:row>
  </x:sheetData>
  <x:mergeCells>
    <x:mergeCell ref="A1:J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5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30" customHeight="1">
      <x:c r="A1" s="281" t="str">
        <x:v>B2B SaaS Pricing &amp; Unit Economics — Public Demo</x:v>
      </x:c>
      <x:c r="B1" s="281"/>
      <x:c r="C1" s="281"/>
      <x:c r="D1" s="281"/>
      <x:c r="E1" s="281"/>
      <x:c r="F1" s="281"/>
      <x:c r="G1" s="281"/>
      <x:c r="H1" s="281"/>
    </x:row>
    <x:row r="3">
      <x:c r="A3" s="286" t="str">
        <x:v>A role-based B2B SaaS pricing model with modules, discounts, customer scenarios, break-even, capacity checks, contribution margin, CAC, LTV and sensitivity analysis.</x:v>
      </x:c>
      <x:c r="B3" s="286"/>
      <x:c r="C3" s="286"/>
      <x:c r="D3" s="286"/>
      <x:c r="E3" s="286"/>
      <x:c r="F3" s="286"/>
      <x:c r="G3" s="286"/>
      <x:c r="H3" s="286"/>
    </x:row>
    <x:row r="5" ht="34" customHeight="1">
      <x:c r="A5" s="291" t="str">
        <x:v>PUBLIC DEMO EDITION</x:v>
      </x:c>
      <x:c r="B5" s="296" t="str">
        <x:v>This workbook uses fictionalized / modified sample data. It is published as a reusable example, not as client-confidential material.</x:v>
      </x:c>
    </x:row>
    <x:row r="6" ht="34" customHeight="1">
      <x:c r="A6" s="291" t="str">
        <x:v>HOW TO USE</x:v>
      </x:c>
      <x:c r="B6" s="296" t="str">
        <x:v>Start on Summary_CEO_View for outputs, then use Inputs and Customer_Scenarios to edit pricing, discount, role mix, modules and customer sizes.</x:v>
      </x:c>
    </x:row>
    <x:row r="7" ht="34" customHeight="1">
      <x:c r="A7" s="291" t="str">
        <x:v>WHAT TO EDIT</x:v>
      </x:c>
      <x:c r="B7" s="296" t="str">
        <x:v>Change the hardcoded pricing / cost assumptions and scenario rows. The pricing engine calculates recurring and one-time revenue automatically.</x:v>
      </x:c>
    </x:row>
    <x:row r="8" ht="34" customHeight="1">
      <x:c r="A8" s="291" t="str">
        <x:v>WHAT TO REVIEW</x:v>
      </x:c>
      <x:c r="B8" s="296" t="str">
        <x:v>Review ARPU, effective discount, break-even customers/users, capacity, contribution margin, payback and LTV/CAC together.</x:v>
      </x:c>
    </x:row>
    <x:row r="9" ht="34" customHeight="1">
      <x:c r="A9" s="291" t="str">
        <x:v>IMPORTANT</x:v>
      </x:c>
      <x:c r="B9" s="296" t="str">
        <x:v>This is an example model, not financial, tax, legal, or investment advice. Validate assumptions before using it for a real decision.</x:v>
      </x:c>
    </x:row>
    <x:row r="10" ht="34" customHeight="1">
      <x:c r="A10" s="291" t="str">
        <x:v>CUSTOM MODEL</x:v>
      </x:c>
      <x:c r="B10" s="296" t="str">
        <x:v>Need pricing architecture built around your actual customers, roles, modules and cost base? Send your current pricing or the decision you need to make: https://keinekratzer.com/contact</x:v>
      </x:c>
    </x:row>
    <x:row r="11" ht="34" customHeight="1">
      <x:c r="A11" s="291" t="str">
        <x:v>ABOUT</x:v>
      </x:c>
      <x:c r="B11" s="296" t="str">
        <x:v>Built by keinekratzer — https://keinekratzer.com</x:v>
      </x:c>
    </x:row>
    <x:row r="12" ht="34" customHeight="1">
      <x:c r="A12" s="291" t="str">
        <x:v>FILE</x:v>
      </x:c>
      <x:c r="B12" s="296" t="str">
        <x:v>Public demo based on a real pricing architecture project. Company name, role labels, module names and sample figures have been fictionalized.</x:v>
      </x:c>
    </x:row>
    <x:row r="13">
      <x:c r="A13" t="str">
        <x:v>BEST FOR</x:v>
      </x:c>
      <x:c r="B13" t="str">
        <x:v>Testing role-based packaging, customer scenarios, discounts, minimum viable account size, break-even, contribution margin, payback and LTV/CAC before changing live pricing.</x:v>
      </x:c>
    </x:row>
    <x:row r="14">
      <x:c r="A14" s="301" t="str">
        <x:v>Tip: start on Summary_CEO_View, then change only blue / hardcoded inputs on Inputs and Customer_Scenarios.</x:v>
      </x:c>
      <x:c r="B14" s="301"/>
      <x:c r="C14" s="301"/>
      <x:c r="D14" s="301"/>
      <x:c r="E14" s="301"/>
      <x:c r="F14" s="301"/>
      <x:c r="G14" s="301"/>
      <x:c r="H14" s="301"/>
    </x:row>
  </x:sheetData>
  <x:mergeCells>
    <x:mergeCell ref="A1:H1"/>
    <x:mergeCell ref="A3:H3"/>
    <x:mergeCell ref="A14:H14"/>
  </x:mergeCells>
  <x:pageMargins left="0.7" right="0.7" top="0.75" bottom="0.75" header="0.3" footer="0.3"/>
</x:worksheet>
</file>